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17\Website\"/>
    </mc:Choice>
  </mc:AlternateContent>
  <xr:revisionPtr revIDLastSave="0" documentId="13_ncr:1_{5119ACB7-4D57-458C-9321-499885D9D32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X58" i="1" l="1"/>
  <c r="AC58" i="1" s="1"/>
  <c r="AE58" i="1" s="1"/>
  <c r="AG58" i="1" s="1"/>
  <c r="X57" i="1"/>
  <c r="AC57" i="1" s="1"/>
  <c r="AE57" i="1" s="1"/>
  <c r="AG57" i="1" s="1"/>
  <c r="X55" i="1"/>
  <c r="X53" i="1"/>
  <c r="X51" i="1"/>
  <c r="AC51" i="1" s="1"/>
  <c r="AE51" i="1" s="1"/>
  <c r="AG51" i="1" s="1"/>
  <c r="X50" i="1"/>
  <c r="X47" i="1"/>
  <c r="AC47" i="1" s="1"/>
  <c r="AE47" i="1" s="1"/>
  <c r="AG47" i="1" s="1"/>
  <c r="X43" i="1"/>
  <c r="AC43" i="1" s="1"/>
  <c r="AE43" i="1" s="1"/>
  <c r="AG43" i="1" s="1"/>
  <c r="X42" i="1"/>
  <c r="AC42" i="1" s="1"/>
  <c r="AE42" i="1" s="1"/>
  <c r="AG42" i="1" s="1"/>
  <c r="X41" i="1"/>
  <c r="AC41" i="1" s="1"/>
  <c r="AE41" i="1" s="1"/>
  <c r="AG41" i="1" s="1"/>
  <c r="X40" i="1"/>
  <c r="AC40" i="1" s="1"/>
  <c r="AE40" i="1" s="1"/>
  <c r="AG40" i="1" s="1"/>
  <c r="Z50" i="1" l="1"/>
  <c r="AB50" i="1" s="1"/>
  <c r="AC50" i="1"/>
  <c r="AE50" i="1" s="1"/>
  <c r="AG50" i="1" s="1"/>
  <c r="Z57" i="1"/>
  <c r="AB57" i="1" s="1"/>
  <c r="Z58" i="1"/>
  <c r="AB58" i="1" s="1"/>
  <c r="Z53" i="1"/>
  <c r="AB53" i="1" s="1"/>
  <c r="AC53" i="1"/>
  <c r="AE53" i="1" s="1"/>
  <c r="AG53" i="1" s="1"/>
  <c r="Z43" i="1"/>
  <c r="AB43" i="1" s="1"/>
  <c r="Z55" i="1"/>
  <c r="AB55" i="1" s="1"/>
  <c r="AC55" i="1"/>
  <c r="AE55" i="1" s="1"/>
  <c r="AG55" i="1" s="1"/>
  <c r="Z51" i="1"/>
  <c r="AB51" i="1" s="1"/>
  <c r="Z40" i="1"/>
  <c r="AB40" i="1" s="1"/>
  <c r="Z41" i="1"/>
  <c r="AB41" i="1" s="1"/>
  <c r="Z47" i="1"/>
  <c r="AB47" i="1" s="1"/>
  <c r="Z42" i="1"/>
  <c r="AB42" i="1" s="1"/>
  <c r="S32" i="1"/>
  <c r="O34" i="1"/>
  <c r="AC34" i="1" s="1"/>
  <c r="AE34" i="1" s="1"/>
  <c r="AG34" i="1" s="1"/>
  <c r="O35" i="1"/>
  <c r="AC35" i="1" s="1"/>
  <c r="AE35" i="1" s="1"/>
  <c r="AG35" i="1" s="1"/>
  <c r="O36" i="1"/>
  <c r="AC36" i="1" s="1"/>
  <c r="AE36" i="1" s="1"/>
  <c r="AG36" i="1" s="1"/>
  <c r="O37" i="1"/>
  <c r="AC37" i="1" s="1"/>
  <c r="AE37" i="1" s="1"/>
  <c r="AG37" i="1" s="1"/>
  <c r="O38" i="1"/>
  <c r="AC38" i="1" s="1"/>
  <c r="AE38" i="1" s="1"/>
  <c r="AG38" i="1" s="1"/>
  <c r="O39" i="1"/>
  <c r="AC39" i="1" s="1"/>
  <c r="AE39" i="1" s="1"/>
  <c r="AG39" i="1" s="1"/>
  <c r="O33" i="1"/>
  <c r="AC33" i="1" s="1"/>
  <c r="AE33" i="1" s="1"/>
  <c r="AG33" i="1" s="1"/>
  <c r="O22" i="1"/>
  <c r="AC22" i="1" s="1"/>
  <c r="AE22" i="1" s="1"/>
  <c r="AG22" i="1" s="1"/>
  <c r="O23" i="1"/>
  <c r="AC23" i="1" s="1"/>
  <c r="AE23" i="1" s="1"/>
  <c r="AG23" i="1" s="1"/>
  <c r="O24" i="1"/>
  <c r="AC24" i="1" s="1"/>
  <c r="AE24" i="1" s="1"/>
  <c r="AG24" i="1" s="1"/>
  <c r="G68" i="1" s="1"/>
  <c r="O25" i="1"/>
  <c r="AC25" i="1" s="1"/>
  <c r="AE25" i="1" s="1"/>
  <c r="AG25" i="1" s="1"/>
  <c r="O26" i="1"/>
  <c r="AC26" i="1" s="1"/>
  <c r="AE26" i="1" s="1"/>
  <c r="AG26" i="1" s="1"/>
  <c r="O27" i="1"/>
  <c r="AC27" i="1" s="1"/>
  <c r="AE27" i="1" s="1"/>
  <c r="AG27" i="1" s="1"/>
  <c r="O28" i="1"/>
  <c r="AC28" i="1" s="1"/>
  <c r="AE28" i="1" s="1"/>
  <c r="AG28" i="1" s="1"/>
  <c r="O29" i="1"/>
  <c r="AC29" i="1" s="1"/>
  <c r="AE29" i="1" s="1"/>
  <c r="AG29" i="1" s="1"/>
  <c r="O30" i="1"/>
  <c r="AC30" i="1" s="1"/>
  <c r="AE30" i="1" s="1"/>
  <c r="AG30" i="1" s="1"/>
  <c r="O31" i="1"/>
  <c r="AC31" i="1" s="1"/>
  <c r="AE31" i="1" s="1"/>
  <c r="AG31" i="1" s="1"/>
  <c r="O20" i="1"/>
  <c r="O21" i="1"/>
  <c r="AC21" i="1" s="1"/>
  <c r="AE21" i="1" s="1"/>
  <c r="AG21" i="1" s="1"/>
  <c r="AC19" i="1"/>
  <c r="AE19" i="1" s="1"/>
  <c r="AG19" i="1" s="1"/>
  <c r="AG18" i="1"/>
  <c r="AG17" i="1"/>
  <c r="AG16" i="1"/>
  <c r="AG15" i="1"/>
  <c r="AG14" i="1"/>
  <c r="G71" i="1" s="1"/>
  <c r="AG13" i="1"/>
  <c r="AG12" i="1"/>
  <c r="AG11" i="1"/>
  <c r="AG10" i="1"/>
  <c r="AG9" i="1"/>
  <c r="AG8" i="1"/>
  <c r="AG7" i="1"/>
  <c r="AG6" i="1"/>
  <c r="AG5" i="1"/>
  <c r="G66" i="1" s="1"/>
  <c r="AG4" i="1"/>
  <c r="G69" i="1" l="1"/>
  <c r="G70" i="1"/>
  <c r="G72" i="1" s="1"/>
  <c r="G65" i="1"/>
  <c r="G67" i="1"/>
  <c r="Q26" i="1"/>
  <c r="S26" i="1" s="1"/>
  <c r="Q36" i="1"/>
  <c r="S36" i="1" s="1"/>
  <c r="Q22" i="1"/>
  <c r="S22" i="1" s="1"/>
  <c r="Q30" i="1"/>
  <c r="S30" i="1" s="1"/>
  <c r="Q23" i="1"/>
  <c r="S23" i="1" s="1"/>
  <c r="AG62" i="1"/>
  <c r="Q21" i="1"/>
  <c r="S21" i="1" s="1"/>
  <c r="Q25" i="1"/>
  <c r="S25" i="1" s="1"/>
  <c r="Q29" i="1"/>
  <c r="S29" i="1" s="1"/>
  <c r="Q34" i="1"/>
  <c r="S34" i="1" s="1"/>
  <c r="Q38" i="1"/>
  <c r="S38" i="1" s="1"/>
  <c r="Q35" i="1"/>
  <c r="S35" i="1" s="1"/>
  <c r="Q39" i="1"/>
  <c r="S39" i="1" s="1"/>
  <c r="Q27" i="1"/>
  <c r="S27" i="1" s="1"/>
  <c r="Q31" i="1"/>
  <c r="S31" i="1" s="1"/>
  <c r="Q19" i="1"/>
  <c r="S19" i="1" s="1"/>
  <c r="Q24" i="1"/>
  <c r="S24" i="1" s="1"/>
  <c r="Q28" i="1"/>
  <c r="S28" i="1" s="1"/>
  <c r="Q33" i="1"/>
  <c r="S33" i="1" s="1"/>
  <c r="Q37" i="1"/>
  <c r="S37" i="1" s="1"/>
  <c r="F5" i="1"/>
  <c r="H5" i="1" s="1"/>
  <c r="J5" i="1" s="1"/>
  <c r="F6" i="1"/>
  <c r="H6" i="1" s="1"/>
  <c r="J6" i="1" s="1"/>
  <c r="F7" i="1"/>
  <c r="H7" i="1" s="1"/>
  <c r="J7" i="1" s="1"/>
  <c r="F8" i="1"/>
  <c r="H8" i="1" s="1"/>
  <c r="J8" i="1" s="1"/>
  <c r="F9" i="1"/>
  <c r="H9" i="1" s="1"/>
  <c r="J9" i="1" s="1"/>
  <c r="F10" i="1"/>
  <c r="H10" i="1" s="1"/>
  <c r="J10" i="1" s="1"/>
  <c r="F11" i="1"/>
  <c r="H11" i="1" s="1"/>
  <c r="J11" i="1" s="1"/>
  <c r="F12" i="1"/>
  <c r="H12" i="1" s="1"/>
  <c r="J12" i="1" s="1"/>
  <c r="F13" i="1"/>
  <c r="H13" i="1" s="1"/>
  <c r="J13" i="1" s="1"/>
  <c r="F14" i="1"/>
  <c r="H14" i="1" s="1"/>
  <c r="J14" i="1" s="1"/>
  <c r="F15" i="1"/>
  <c r="H15" i="1" s="1"/>
  <c r="J15" i="1" s="1"/>
  <c r="F16" i="1"/>
  <c r="H16" i="1" s="1"/>
  <c r="J16" i="1" s="1"/>
  <c r="F17" i="1"/>
  <c r="H17" i="1" s="1"/>
  <c r="J17" i="1" s="1"/>
  <c r="F18" i="1"/>
  <c r="H18" i="1" s="1"/>
  <c r="J18" i="1" s="1"/>
  <c r="F4" i="1"/>
  <c r="H4" i="1" s="1"/>
  <c r="J4" i="1" l="1"/>
</calcChain>
</file>

<file path=xl/sharedStrings.xml><?xml version="1.0" encoding="utf-8"?>
<sst xmlns="http://schemas.openxmlformats.org/spreadsheetml/2006/main" count="360" uniqueCount="128">
  <si>
    <t>Perceel</t>
  </si>
  <si>
    <t>Product</t>
  </si>
  <si>
    <t>Budget</t>
  </si>
  <si>
    <t>Totaal volume</t>
  </si>
  <si>
    <t>Eenheid</t>
  </si>
  <si>
    <t>Lot</t>
  </si>
  <si>
    <t>Produit</t>
  </si>
  <si>
    <t>Emballage unité</t>
  </si>
  <si>
    <t>Volume total</t>
  </si>
  <si>
    <t>Unité</t>
  </si>
  <si>
    <t>Conversion en tonnes</t>
  </si>
  <si>
    <t>Unités distribuées</t>
  </si>
  <si>
    <t>Lait demi-écrémé
Halfvolle melk</t>
  </si>
  <si>
    <t>Tomates pelées
Gepelde tomaten</t>
  </si>
  <si>
    <t>Tonnes
Ton</t>
  </si>
  <si>
    <t>Lien avec les indicateurs de réalisation
Link met outputindicatoren</t>
  </si>
  <si>
    <t>Plats cuisinés, autres denrées alimentaires (qui ne relèvent pas des catégories susmentionnées)
Kant-en-klare levensmiddelen, andere levensmiddelen</t>
  </si>
  <si>
    <t>Graisses, huiles
Vet, olie</t>
  </si>
  <si>
    <t>Fruits et légumes
Fruit en groeten</t>
  </si>
  <si>
    <t>Farine, pain, pommes de terre, riz et autres produits riches en amidon
Meel, brood, aardappelen, rijst en andere zetmeelhoudende producten</t>
  </si>
  <si>
    <t>Unités achetées</t>
  </si>
  <si>
    <t>Viandes, œufs, poissons et fruits de mer
Vlees, eieren, vis, schaal- en schelpdieren</t>
  </si>
  <si>
    <t>Semoule/couscous
Griesmeel/couscous</t>
  </si>
  <si>
    <t>Lentilles
Linzen</t>
  </si>
  <si>
    <t>Poulet en sauce
Kip in saus</t>
  </si>
  <si>
    <t>Haricots verts en conserve
Sperziebonen</t>
  </si>
  <si>
    <t>Fromage fondu à tartiner
Smeerkaas</t>
  </si>
  <si>
    <t>Huile d'olive
Olijfolie</t>
  </si>
  <si>
    <t>Confiture extra aux fraises
Aardbeienconfituur extra</t>
  </si>
  <si>
    <t>Pétales de blé au chocolat
Tarwevlokken met chocolade</t>
  </si>
  <si>
    <t>1l</t>
  </si>
  <si>
    <t>125g</t>
  </si>
  <si>
    <t>420g</t>
  </si>
  <si>
    <t>1000g</t>
  </si>
  <si>
    <t>500g</t>
  </si>
  <si>
    <t>400g</t>
  </si>
  <si>
    <t>Litre
Liter</t>
  </si>
  <si>
    <t>Gramme
Gram</t>
  </si>
  <si>
    <t>Pâtes
Pasta</t>
  </si>
  <si>
    <t>140g</t>
  </si>
  <si>
    <t>370g</t>
  </si>
  <si>
    <t>454g</t>
  </si>
  <si>
    <t>2x200g</t>
  </si>
  <si>
    <t>Sardines à l'huile d'olive
Sardienen in olfijolie</t>
  </si>
  <si>
    <t>Mousseline de pommes 
Appelmousseline</t>
  </si>
  <si>
    <t>Chocolat au lait
Melkchocolade</t>
  </si>
  <si>
    <t>Pétales de maïs sucrés
Gesuikerde maïsvlokken</t>
  </si>
  <si>
    <t>Lots 2014
Percelen 2014</t>
  </si>
  <si>
    <t>Lots 2015
Percelen 2015</t>
  </si>
  <si>
    <t>2, 3, 4</t>
  </si>
  <si>
    <t>7 , 8, 9</t>
  </si>
  <si>
    <t>10, 12, 14</t>
  </si>
  <si>
    <t>5, 6, 13</t>
  </si>
  <si>
    <t>2, 4</t>
  </si>
  <si>
    <t>1, 9</t>
  </si>
  <si>
    <t>3, 7, 8, 10</t>
  </si>
  <si>
    <t>12, 15</t>
  </si>
  <si>
    <t>5, 6, 13, 14</t>
  </si>
  <si>
    <t>Hoeveelheden aangekocht aan de basis</t>
  </si>
  <si>
    <t>Hoeveelheden verdeeld in 2015</t>
  </si>
  <si>
    <t>Unités résiduelles campagne 2015</t>
  </si>
  <si>
    <t>Resterende eenheden campagne 2015</t>
  </si>
  <si>
    <t>QUANTITES RESIDUELLES CAMPAGNE 2015
RESTERENDE HOEVEELHEDEN CAMPAGNE 2015</t>
  </si>
  <si>
    <t>Lots 2016
Percelen 2016</t>
  </si>
  <si>
    <t>Salade de riz au thon
Rijstsalade met tonijn</t>
  </si>
  <si>
    <t>Pâtes: Penne
Pasta: Penne</t>
  </si>
  <si>
    <t>Pâtes: Farfalle
Pasta: Farfalle</t>
  </si>
  <si>
    <t>Riz
Rijst</t>
  </si>
  <si>
    <t>Pois chiches
Kikkererwten</t>
  </si>
  <si>
    <t>100g</t>
  </si>
  <si>
    <t>Soupe de tomates-légumes au bouillon de légumes
Groentesoep met groentebouillon</t>
  </si>
  <si>
    <t>Farine de blé
Tarwemeel</t>
  </si>
  <si>
    <t>Macédoine de légumes
Groentemacdoine</t>
  </si>
  <si>
    <t>Mousseline de pomme
Appelmousseline</t>
  </si>
  <si>
    <t>Huile d’olive
Olijfolie</t>
  </si>
  <si>
    <t>Biscuits secs «petit beurre»
Droge koekjes "petit beurre"</t>
  </si>
  <si>
    <t>Chocolat noir issu du commerce équitable
Fairtrade fondant chocolade</t>
  </si>
  <si>
    <t>Poulet sauce forestière
Kip in champignonsaus</t>
  </si>
  <si>
    <t>Sucre
Suiker</t>
  </si>
  <si>
    <t>Maquereaux à l’huile d’olive
Makreel in olijfolie</t>
  </si>
  <si>
    <t>250g</t>
  </si>
  <si>
    <t>475g</t>
  </si>
  <si>
    <t>200g</t>
  </si>
  <si>
    <t>Quantité de sucre
Hoeveelheid suiker</t>
  </si>
  <si>
    <t>10, 11, 12, 13</t>
  </si>
  <si>
    <t>1, 15</t>
  </si>
  <si>
    <t>5, 7, 8, 9, 21</t>
  </si>
  <si>
    <t>3,4, 16, 18, 19, 20</t>
  </si>
  <si>
    <t>QUANTITES LIVREES CAMPAGNE 2017
GELEVERDE HOEVEELHEDEN CAMPAGNE 2017</t>
  </si>
  <si>
    <t>Unités livrées au 31/12/2017</t>
  </si>
  <si>
    <t>QUANTITES RESIDUELLES CAMPAGNE 2016
RESTERENDE HOEVEELHEDEN CAMPAGNE 2016</t>
  </si>
  <si>
    <t>QUANTITES DISTRIBUEES 2017
VERDEELDE HOEVEELHEDEN 2017</t>
  </si>
  <si>
    <t>Unités achetées à la base</t>
  </si>
  <si>
    <t>Unités distribuées en 2015</t>
  </si>
  <si>
    <t>Unités distribuées en 2016</t>
  </si>
  <si>
    <t>Hoeveelheden verdeeld in 2016</t>
  </si>
  <si>
    <t>Verpakking eenheid</t>
  </si>
  <si>
    <t>Omzetting naar ton</t>
  </si>
  <si>
    <t>Lots 2017
Percelen 2017</t>
  </si>
  <si>
    <t>Untités distribuées en 2016</t>
  </si>
  <si>
    <t>Unités résiduelles campagne 2016</t>
  </si>
  <si>
    <t>Resterende eenheden campagne 2016</t>
  </si>
  <si>
    <t>Volume total livré au 31/12/2017</t>
  </si>
  <si>
    <t>Verdeelde 
eenheden</t>
  </si>
  <si>
    <t>Verpakking 
eenheid</t>
  </si>
  <si>
    <t>Omzetting 
naar ton</t>
  </si>
  <si>
    <t>Fruits secs
Gedroogd fruit</t>
  </si>
  <si>
    <t>Confiture aux 4 fruits rouges
Confituur met 4 rode vruchten</t>
  </si>
  <si>
    <t>Poulet aux olives et citrons
Kip met olijven en citroen</t>
  </si>
  <si>
    <t>Boulettes sauce tomate
Balletjes in tomatensaus</t>
  </si>
  <si>
    <t>Galettes de maïs sans OGM
Maïswafels zonder GGG</t>
  </si>
  <si>
    <t>Haricots blancs
Witte bonen</t>
  </si>
  <si>
    <t>Pâtes: Coquillettes
Pasta: horentjes</t>
  </si>
  <si>
    <t>Pâtes: spaghetti biologiques
Pasta: biologische spaghetti</t>
  </si>
  <si>
    <t>Café moulu 100% arabica issu du commerce équitable
Gemalen koffie 100% arabica fairtrade</t>
  </si>
  <si>
    <t>Salade de riz au thon issu de la pêche durable
Rijstsalade met tonijn afkomstig van duurzame visvangst</t>
  </si>
  <si>
    <t>380g</t>
  </si>
  <si>
    <t>480g</t>
  </si>
  <si>
    <t>130g</t>
  </si>
  <si>
    <t>Mousseline de pommes
Appelmousseline</t>
  </si>
  <si>
    <t>1, 14</t>
  </si>
  <si>
    <t>4, 6, 7, 8, 19</t>
  </si>
  <si>
    <t>9, 10, 11, 12, 13, 20</t>
  </si>
  <si>
    <t>3, 5, 15, 17, 18, 21, 22</t>
  </si>
  <si>
    <t>Aangekocht hoeveelheden</t>
  </si>
  <si>
    <t>Eenheden reeds geleverd op 31/12/2017</t>
  </si>
  <si>
    <t>Totaal volume geleverd op 31/12/2017</t>
  </si>
  <si>
    <t>Produits laitiers
Zuivelproducten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</si>
</sst>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\-#,##0.00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2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3" fontId="0" fillId="0" borderId="0" xfId="0" applyNumberFormat="1"/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1" fillId="0" borderId="17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vertical="center"/>
    </xf>
    <xf numFmtId="3" fontId="0" fillId="0" borderId="12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1" fontId="0" fillId="2" borderId="13" xfId="0" applyNumberFormat="1" applyFont="1" applyFill="1" applyBorder="1" applyAlignment="1" applyProtection="1">
      <alignment horizontal="right" vertical="center"/>
    </xf>
    <xf numFmtId="4" fontId="0" fillId="9" borderId="24" xfId="0" applyNumberFormat="1" applyFont="1" applyFill="1" applyBorder="1" applyAlignment="1">
      <alignment vertical="center"/>
    </xf>
    <xf numFmtId="4" fontId="0" fillId="9" borderId="3" xfId="0" applyNumberFormat="1" applyFont="1" applyFill="1" applyBorder="1" applyAlignment="1">
      <alignment vertical="center"/>
    </xf>
    <xf numFmtId="165" fontId="0" fillId="2" borderId="12" xfId="0" applyNumberFormat="1" applyFont="1" applyFill="1" applyBorder="1" applyAlignment="1" applyProtection="1">
      <alignment horizontal="left" vertical="center" wrapText="1"/>
    </xf>
    <xf numFmtId="165" fontId="0" fillId="2" borderId="23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left" vertical="center"/>
    </xf>
    <xf numFmtId="3" fontId="0" fillId="0" borderId="12" xfId="0" applyNumberFormat="1" applyFont="1" applyFill="1" applyBorder="1" applyAlignment="1" applyProtection="1">
      <alignment horizontal="left" vertical="center"/>
    </xf>
    <xf numFmtId="165" fontId="0" fillId="2" borderId="1" xfId="0" applyNumberFormat="1" applyFont="1" applyFill="1" applyBorder="1" applyAlignment="1" applyProtection="1">
      <alignment horizontal="left" vertical="center" wrapText="1"/>
    </xf>
    <xf numFmtId="1" fontId="0" fillId="2" borderId="2" xfId="0" applyNumberFormat="1" applyFont="1" applyFill="1" applyBorder="1" applyAlignment="1" applyProtection="1">
      <alignment horizontal="right" vertical="center"/>
    </xf>
    <xf numFmtId="4" fontId="0" fillId="0" borderId="29" xfId="0" applyNumberFormat="1" applyFont="1" applyBorder="1" applyAlignment="1">
      <alignment vertical="center"/>
    </xf>
    <xf numFmtId="0" fontId="0" fillId="0" borderId="0" xfId="0"/>
    <xf numFmtId="0" fontId="0" fillId="0" borderId="0" xfId="0" applyBorder="1"/>
    <xf numFmtId="0" fontId="1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left" vertical="center"/>
    </xf>
    <xf numFmtId="4" fontId="0" fillId="9" borderId="3" xfId="0" applyNumberFormat="1" applyFont="1" applyFill="1" applyBorder="1" applyAlignment="1" applyProtection="1">
      <alignment vertical="center"/>
    </xf>
    <xf numFmtId="4" fontId="0" fillId="9" borderId="1" xfId="0" applyNumberFormat="1" applyFont="1" applyFill="1" applyBorder="1" applyAlignment="1">
      <alignment vertical="center"/>
    </xf>
    <xf numFmtId="4" fontId="0" fillId="9" borderId="22" xfId="0" applyNumberFormat="1" applyFont="1" applyFill="1" applyBorder="1" applyAlignment="1">
      <alignment vertical="center"/>
    </xf>
    <xf numFmtId="4" fontId="0" fillId="9" borderId="23" xfId="0" applyNumberFormat="1" applyFont="1" applyFill="1" applyBorder="1" applyAlignment="1">
      <alignment vertical="center"/>
    </xf>
    <xf numFmtId="4" fontId="0" fillId="9" borderId="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0" fillId="9" borderId="1" xfId="0" applyNumberFormat="1" applyFont="1" applyFill="1" applyBorder="1" applyAlignment="1" applyProtection="1">
      <alignment vertical="center"/>
    </xf>
    <xf numFmtId="4" fontId="0" fillId="9" borderId="2" xfId="0" applyNumberFormat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1" fontId="0" fillId="2" borderId="32" xfId="0" applyNumberFormat="1" applyFont="1" applyFill="1" applyBorder="1" applyAlignment="1" applyProtection="1">
      <alignment horizontal="right" vertical="center"/>
    </xf>
    <xf numFmtId="165" fontId="0" fillId="2" borderId="31" xfId="0" applyNumberFormat="1" applyFont="1" applyFill="1" applyBorder="1" applyAlignment="1" applyProtection="1">
      <alignment horizontal="left" vertical="center" wrapText="1"/>
    </xf>
    <xf numFmtId="3" fontId="0" fillId="0" borderId="31" xfId="0" applyNumberFormat="1" applyFont="1" applyFill="1" applyBorder="1" applyAlignment="1" applyProtection="1">
      <alignment horizontal="left" vertical="center"/>
    </xf>
    <xf numFmtId="3" fontId="0" fillId="0" borderId="31" xfId="0" applyNumberFormat="1" applyFont="1" applyFill="1" applyBorder="1" applyAlignment="1" applyProtection="1">
      <alignment vertical="center"/>
    </xf>
    <xf numFmtId="4" fontId="0" fillId="0" borderId="27" xfId="0" applyNumberFormat="1" applyFont="1" applyFill="1" applyBorder="1" applyAlignment="1">
      <alignment vertical="center"/>
    </xf>
    <xf numFmtId="165" fontId="4" fillId="9" borderId="1" xfId="0" applyNumberFormat="1" applyFont="1" applyFill="1" applyBorder="1" applyAlignment="1">
      <alignment horizontal="center"/>
    </xf>
    <xf numFmtId="4" fontId="4" fillId="9" borderId="3" xfId="0" applyNumberFormat="1" applyFont="1" applyFill="1" applyBorder="1"/>
    <xf numFmtId="165" fontId="4" fillId="9" borderId="2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1" fontId="0" fillId="2" borderId="22" xfId="0" applyNumberFormat="1" applyFont="1" applyFill="1" applyBorder="1" applyAlignment="1" applyProtection="1">
      <alignment horizontal="right" vertical="center"/>
    </xf>
    <xf numFmtId="3" fontId="0" fillId="0" borderId="23" xfId="0" applyNumberFormat="1" applyFont="1" applyFill="1" applyBorder="1" applyAlignment="1" applyProtection="1">
      <alignment vertical="center"/>
    </xf>
    <xf numFmtId="3" fontId="0" fillId="0" borderId="34" xfId="0" applyNumberFormat="1" applyFont="1" applyFill="1" applyBorder="1" applyAlignment="1" applyProtection="1">
      <alignment horizontal="left" vertical="center"/>
    </xf>
    <xf numFmtId="3" fontId="0" fillId="0" borderId="26" xfId="0" applyNumberFormat="1" applyFont="1" applyFill="1" applyBorder="1" applyAlignment="1" applyProtection="1">
      <alignment horizontal="left" vertical="center"/>
    </xf>
    <xf numFmtId="3" fontId="0" fillId="0" borderId="23" xfId="0" applyNumberFormat="1" applyFont="1" applyFill="1" applyBorder="1" applyAlignment="1" applyProtection="1">
      <alignment horizontal="left" vertical="center"/>
    </xf>
    <xf numFmtId="3" fontId="0" fillId="0" borderId="7" xfId="0" applyNumberFormat="1" applyFont="1" applyBorder="1" applyAlignment="1">
      <alignment vertical="center"/>
    </xf>
    <xf numFmtId="165" fontId="0" fillId="0" borderId="23" xfId="0" applyNumberFormat="1" applyFont="1" applyFill="1" applyBorder="1" applyAlignment="1" applyProtection="1">
      <alignment horizontal="center" vertical="center" wrapText="1"/>
    </xf>
    <xf numFmtId="4" fontId="0" fillId="0" borderId="24" xfId="0" applyNumberFormat="1" applyFont="1" applyFill="1" applyBorder="1" applyAlignment="1" applyProtection="1">
      <alignment vertical="center"/>
    </xf>
    <xf numFmtId="165" fontId="0" fillId="2" borderId="28" xfId="0" applyNumberFormat="1" applyFont="1" applyFill="1" applyBorder="1" applyAlignment="1" applyProtection="1">
      <alignment horizontal="left" vertical="center" wrapText="1"/>
    </xf>
    <xf numFmtId="165" fontId="0" fillId="2" borderId="20" xfId="0" applyNumberFormat="1" applyFont="1" applyFill="1" applyBorder="1" applyAlignment="1" applyProtection="1">
      <alignment horizontal="left" vertical="center" wrapText="1"/>
    </xf>
    <xf numFmtId="4" fontId="0" fillId="9" borderId="12" xfId="0" applyNumberFormat="1" applyFont="1" applyFill="1" applyBorder="1" applyAlignment="1" applyProtection="1">
      <alignment vertical="center"/>
    </xf>
    <xf numFmtId="4" fontId="0" fillId="9" borderId="13" xfId="0" applyNumberFormat="1" applyFont="1" applyFill="1" applyBorder="1" applyAlignment="1" applyProtection="1">
      <alignment vertical="center"/>
    </xf>
    <xf numFmtId="4" fontId="0" fillId="9" borderId="14" xfId="0" applyNumberFormat="1" applyFont="1" applyFill="1" applyBorder="1" applyAlignment="1" applyProtection="1">
      <alignment vertical="center"/>
    </xf>
    <xf numFmtId="164" fontId="6" fillId="0" borderId="2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3" fontId="0" fillId="11" borderId="1" xfId="0" applyNumberFormat="1" applyFont="1" applyFill="1" applyBorder="1" applyAlignment="1" applyProtection="1">
      <alignment horizontal="left" vertical="center"/>
    </xf>
    <xf numFmtId="165" fontId="0" fillId="11" borderId="1" xfId="0" applyNumberFormat="1" applyFont="1" applyFill="1" applyBorder="1" applyAlignment="1" applyProtection="1">
      <alignment horizontal="center" vertical="center" wrapText="1"/>
    </xf>
    <xf numFmtId="4" fontId="4" fillId="12" borderId="1" xfId="0" applyNumberFormat="1" applyFont="1" applyFill="1" applyBorder="1"/>
    <xf numFmtId="3" fontId="0" fillId="11" borderId="19" xfId="0" applyNumberFormat="1" applyFont="1" applyFill="1" applyBorder="1" applyAlignment="1" applyProtection="1">
      <alignment vertical="center"/>
    </xf>
    <xf numFmtId="165" fontId="0" fillId="11" borderId="19" xfId="0" applyNumberFormat="1" applyFont="1" applyFill="1" applyBorder="1" applyAlignment="1" applyProtection="1">
      <alignment horizontal="center" vertical="center" wrapText="1"/>
    </xf>
    <xf numFmtId="3" fontId="0" fillId="11" borderId="1" xfId="0" applyNumberFormat="1" applyFont="1" applyFill="1" applyBorder="1" applyAlignment="1" applyProtection="1">
      <alignment vertical="center"/>
    </xf>
    <xf numFmtId="3" fontId="0" fillId="11" borderId="3" xfId="0" applyNumberFormat="1" applyFont="1" applyFill="1" applyBorder="1" applyAlignment="1" applyProtection="1">
      <alignment vertical="center"/>
    </xf>
    <xf numFmtId="3" fontId="0" fillId="11" borderId="5" xfId="0" applyNumberFormat="1" applyFont="1" applyFill="1" applyBorder="1" applyAlignment="1" applyProtection="1">
      <alignment vertical="center"/>
    </xf>
    <xf numFmtId="3" fontId="0" fillId="11" borderId="19" xfId="0" applyNumberFormat="1" applyFont="1" applyFill="1" applyBorder="1" applyAlignment="1" applyProtection="1">
      <alignment horizontal="left" vertical="center"/>
    </xf>
    <xf numFmtId="3" fontId="0" fillId="11" borderId="30" xfId="0" applyNumberFormat="1" applyFont="1" applyFill="1" applyBorder="1" applyAlignment="1" applyProtection="1">
      <alignment vertical="center"/>
    </xf>
    <xf numFmtId="3" fontId="0" fillId="0" borderId="36" xfId="0" applyNumberFormat="1" applyFont="1" applyFill="1" applyBorder="1" applyAlignment="1" applyProtection="1">
      <alignment vertical="center"/>
    </xf>
    <xf numFmtId="4" fontId="0" fillId="0" borderId="0" xfId="0" applyNumberFormat="1"/>
    <xf numFmtId="164" fontId="6" fillId="10" borderId="1" xfId="0" applyNumberFormat="1" applyFont="1" applyFill="1" applyBorder="1" applyAlignment="1">
      <alignment horizontal="right" vertical="center" wrapText="1"/>
    </xf>
    <xf numFmtId="1" fontId="0" fillId="0" borderId="2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 applyProtection="1">
      <alignment horizontal="right" vertical="center"/>
    </xf>
    <xf numFmtId="165" fontId="0" fillId="0" borderId="19" xfId="0" applyNumberFormat="1" applyFont="1" applyFill="1" applyBorder="1" applyAlignment="1" applyProtection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9" borderId="40" xfId="0" applyFont="1" applyFill="1" applyBorder="1" applyAlignment="1">
      <alignment horizontal="right"/>
    </xf>
    <xf numFmtId="0" fontId="0" fillId="9" borderId="41" xfId="0" applyFont="1" applyFill="1" applyBorder="1" applyAlignment="1">
      <alignment horizontal="right"/>
    </xf>
    <xf numFmtId="0" fontId="0" fillId="9" borderId="42" xfId="0" applyFont="1" applyFill="1" applyBorder="1" applyAlignment="1">
      <alignment horizontal="right"/>
    </xf>
    <xf numFmtId="0" fontId="0" fillId="0" borderId="4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right" vertical="center"/>
    </xf>
    <xf numFmtId="165" fontId="0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 wrapText="1"/>
    </xf>
    <xf numFmtId="165" fontId="4" fillId="9" borderId="13" xfId="0" applyNumberFormat="1" applyFont="1" applyFill="1" applyBorder="1" applyAlignment="1">
      <alignment horizontal="center"/>
    </xf>
    <xf numFmtId="165" fontId="4" fillId="9" borderId="12" xfId="0" applyNumberFormat="1" applyFont="1" applyFill="1" applyBorder="1" applyAlignment="1">
      <alignment horizontal="center"/>
    </xf>
    <xf numFmtId="3" fontId="4" fillId="9" borderId="12" xfId="0" applyNumberFormat="1" applyFont="1" applyFill="1" applyBorder="1" applyAlignment="1">
      <alignment horizontal="left"/>
    </xf>
    <xf numFmtId="0" fontId="5" fillId="9" borderId="12" xfId="0" applyFont="1" applyFill="1" applyBorder="1" applyAlignment="1">
      <alignment horizontal="center"/>
    </xf>
    <xf numFmtId="4" fontId="4" fillId="9" borderId="14" xfId="0" applyNumberFormat="1" applyFont="1" applyFill="1" applyBorder="1"/>
    <xf numFmtId="165" fontId="0" fillId="2" borderId="46" xfId="0" applyNumberFormat="1" applyFont="1" applyFill="1" applyBorder="1" applyAlignment="1" applyProtection="1">
      <alignment horizontal="left" vertical="center" wrapText="1"/>
    </xf>
    <xf numFmtId="165" fontId="0" fillId="11" borderId="12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3" fontId="0" fillId="2" borderId="12" xfId="0" applyNumberFormat="1" applyFont="1" applyFill="1" applyBorder="1" applyAlignment="1" applyProtection="1">
      <alignment horizontal="left" vertical="center"/>
    </xf>
    <xf numFmtId="3" fontId="0" fillId="0" borderId="26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165" fontId="4" fillId="9" borderId="22" xfId="0" applyNumberFormat="1" applyFont="1" applyFill="1" applyBorder="1" applyAlignment="1">
      <alignment horizontal="center"/>
    </xf>
    <xf numFmtId="165" fontId="4" fillId="9" borderId="23" xfId="0" applyNumberFormat="1" applyFont="1" applyFill="1" applyBorder="1" applyAlignment="1">
      <alignment horizontal="center"/>
    </xf>
    <xf numFmtId="3" fontId="4" fillId="9" borderId="23" xfId="0" applyNumberFormat="1" applyFont="1" applyFill="1" applyBorder="1" applyAlignment="1">
      <alignment horizontal="left"/>
    </xf>
    <xf numFmtId="0" fontId="5" fillId="9" borderId="23" xfId="0" applyFont="1" applyFill="1" applyBorder="1" applyAlignment="1">
      <alignment horizontal="center"/>
    </xf>
    <xf numFmtId="4" fontId="4" fillId="9" borderId="24" xfId="0" applyNumberFormat="1" applyFont="1" applyFill="1" applyBorder="1"/>
    <xf numFmtId="3" fontId="0" fillId="0" borderId="1" xfId="0" applyNumberFormat="1" applyFont="1" applyFill="1" applyBorder="1" applyAlignment="1" applyProtection="1">
      <alignment horizontal="right" vertical="center"/>
    </xf>
    <xf numFmtId="3" fontId="0" fillId="0" borderId="49" xfId="0" applyNumberFormat="1" applyFont="1" applyFill="1" applyBorder="1" applyAlignment="1" applyProtection="1">
      <alignment vertical="center"/>
    </xf>
    <xf numFmtId="1" fontId="0" fillId="10" borderId="2" xfId="0" applyNumberFormat="1" applyFont="1" applyFill="1" applyBorder="1" applyAlignment="1" applyProtection="1">
      <alignment horizontal="right" vertical="center"/>
    </xf>
    <xf numFmtId="165" fontId="4" fillId="11" borderId="22" xfId="0" applyNumberFormat="1" applyFont="1" applyFill="1" applyBorder="1" applyAlignment="1">
      <alignment horizontal="center"/>
    </xf>
    <xf numFmtId="165" fontId="4" fillId="11" borderId="23" xfId="0" applyNumberFormat="1" applyFont="1" applyFill="1" applyBorder="1" applyAlignment="1">
      <alignment horizontal="center"/>
    </xf>
    <xf numFmtId="3" fontId="4" fillId="11" borderId="23" xfId="0" applyNumberFormat="1" applyFont="1" applyFill="1" applyBorder="1" applyAlignment="1">
      <alignment horizontal="left"/>
    </xf>
    <xf numFmtId="0" fontId="5" fillId="11" borderId="23" xfId="0" applyFont="1" applyFill="1" applyBorder="1" applyAlignment="1">
      <alignment horizontal="center"/>
    </xf>
    <xf numFmtId="4" fontId="4" fillId="11" borderId="28" xfId="0" applyNumberFormat="1" applyFont="1" applyFill="1" applyBorder="1"/>
    <xf numFmtId="1" fontId="0" fillId="11" borderId="22" xfId="0" applyNumberFormat="1" applyFont="1" applyFill="1" applyBorder="1" applyAlignment="1" applyProtection="1">
      <alignment horizontal="right" vertical="center"/>
    </xf>
    <xf numFmtId="165" fontId="0" fillId="11" borderId="23" xfId="0" applyNumberFormat="1" applyFont="1" applyFill="1" applyBorder="1" applyAlignment="1" applyProtection="1">
      <alignment horizontal="left" vertical="center" wrapText="1"/>
    </xf>
    <xf numFmtId="3" fontId="0" fillId="11" borderId="23" xfId="0" applyNumberFormat="1" applyFont="1" applyFill="1" applyBorder="1" applyAlignment="1" applyProtection="1">
      <alignment horizontal="left" vertical="center"/>
    </xf>
    <xf numFmtId="3" fontId="0" fillId="11" borderId="23" xfId="0" applyNumberFormat="1" applyFont="1" applyFill="1" applyBorder="1" applyAlignment="1" applyProtection="1">
      <alignment vertical="center"/>
    </xf>
    <xf numFmtId="165" fontId="0" fillId="11" borderId="23" xfId="0" applyNumberFormat="1" applyFont="1" applyFill="1" applyBorder="1" applyAlignment="1" applyProtection="1">
      <alignment horizontal="center" vertical="center" wrapText="1"/>
    </xf>
    <xf numFmtId="3" fontId="0" fillId="11" borderId="24" xfId="0" applyNumberFormat="1" applyFont="1" applyFill="1" applyBorder="1" applyAlignment="1" applyProtection="1">
      <alignment vertical="center"/>
    </xf>
    <xf numFmtId="165" fontId="4" fillId="11" borderId="2" xfId="0" applyNumberFormat="1" applyFont="1" applyFill="1" applyBorder="1" applyAlignment="1">
      <alignment horizontal="center"/>
    </xf>
    <xf numFmtId="165" fontId="4" fillId="11" borderId="1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horizontal="left"/>
    </xf>
    <xf numFmtId="0" fontId="5" fillId="11" borderId="1" xfId="0" applyFont="1" applyFill="1" applyBorder="1" applyAlignment="1">
      <alignment horizontal="center"/>
    </xf>
    <xf numFmtId="4" fontId="4" fillId="11" borderId="47" xfId="0" applyNumberFormat="1" applyFont="1" applyFill="1" applyBorder="1"/>
    <xf numFmtId="1" fontId="0" fillId="11" borderId="2" xfId="0" applyNumberFormat="1" applyFont="1" applyFill="1" applyBorder="1" applyAlignment="1" applyProtection="1">
      <alignment horizontal="right" vertical="center"/>
    </xf>
    <xf numFmtId="165" fontId="0" fillId="11" borderId="1" xfId="0" applyNumberFormat="1" applyFont="1" applyFill="1" applyBorder="1" applyAlignment="1" applyProtection="1">
      <alignment horizontal="left" vertical="center" wrapText="1"/>
    </xf>
    <xf numFmtId="165" fontId="4" fillId="11" borderId="4" xfId="0" applyNumberFormat="1" applyFont="1" applyFill="1" applyBorder="1" applyAlignment="1">
      <alignment horizontal="center"/>
    </xf>
    <xf numFmtId="165" fontId="4" fillId="11" borderId="19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4" fontId="4" fillId="11" borderId="48" xfId="0" applyNumberFormat="1" applyFont="1" applyFill="1" applyBorder="1"/>
    <xf numFmtId="1" fontId="0" fillId="11" borderId="4" xfId="0" applyNumberFormat="1" applyFont="1" applyFill="1" applyBorder="1" applyAlignment="1" applyProtection="1">
      <alignment horizontal="right" vertical="center"/>
    </xf>
    <xf numFmtId="165" fontId="0" fillId="11" borderId="19" xfId="0" applyNumberFormat="1" applyFont="1" applyFill="1" applyBorder="1" applyAlignment="1" applyProtection="1">
      <alignment horizontal="left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4" fillId="10" borderId="36" xfId="0" applyNumberFormat="1" applyFont="1" applyFill="1" applyBorder="1"/>
    <xf numFmtId="4" fontId="4" fillId="10" borderId="1" xfId="0" applyNumberFormat="1" applyFont="1" applyFill="1" applyBorder="1"/>
    <xf numFmtId="4" fontId="4" fillId="10" borderId="3" xfId="0" applyNumberFormat="1" applyFont="1" applyFill="1" applyBorder="1"/>
    <xf numFmtId="165" fontId="0" fillId="10" borderId="20" xfId="0" applyNumberFormat="1" applyFont="1" applyFill="1" applyBorder="1" applyAlignment="1" applyProtection="1">
      <alignment horizontal="left" vertical="center" wrapText="1"/>
    </xf>
    <xf numFmtId="3" fontId="4" fillId="10" borderId="2" xfId="0" applyNumberFormat="1" applyFont="1" applyFill="1" applyBorder="1"/>
    <xf numFmtId="4" fontId="4" fillId="10" borderId="26" xfId="0" applyNumberFormat="1" applyFont="1" applyFill="1" applyBorder="1"/>
    <xf numFmtId="4" fontId="4" fillId="10" borderId="12" xfId="0" applyNumberFormat="1" applyFont="1" applyFill="1" applyBorder="1"/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1" fontId="0" fillId="9" borderId="22" xfId="0" applyNumberFormat="1" applyFont="1" applyFill="1" applyBorder="1" applyAlignment="1" applyProtection="1">
      <alignment horizontal="right" vertical="center"/>
    </xf>
    <xf numFmtId="165" fontId="0" fillId="9" borderId="28" xfId="0" applyNumberFormat="1" applyFont="1" applyFill="1" applyBorder="1" applyAlignment="1" applyProtection="1">
      <alignment horizontal="left" vertical="center" wrapText="1"/>
    </xf>
    <xf numFmtId="164" fontId="6" fillId="9" borderId="23" xfId="0" applyNumberFormat="1" applyFont="1" applyFill="1" applyBorder="1" applyAlignment="1">
      <alignment horizontal="right" vertical="center" wrapText="1"/>
    </xf>
    <xf numFmtId="3" fontId="0" fillId="9" borderId="23" xfId="0" applyNumberFormat="1" applyFont="1" applyFill="1" applyBorder="1" applyAlignment="1" applyProtection="1">
      <alignment horizontal="left" vertical="center"/>
    </xf>
    <xf numFmtId="3" fontId="0" fillId="9" borderId="31" xfId="0" applyNumberFormat="1" applyFont="1" applyFill="1" applyBorder="1" applyAlignment="1" applyProtection="1">
      <alignment vertical="center"/>
    </xf>
    <xf numFmtId="3" fontId="0" fillId="9" borderId="23" xfId="0" applyNumberFormat="1" applyFont="1" applyFill="1" applyBorder="1" applyAlignment="1" applyProtection="1">
      <alignment vertical="center"/>
    </xf>
    <xf numFmtId="165" fontId="0" fillId="9" borderId="23" xfId="0" applyNumberFormat="1" applyFont="1" applyFill="1" applyBorder="1" applyAlignment="1" applyProtection="1">
      <alignment horizontal="center" vertical="center" wrapText="1"/>
    </xf>
    <xf numFmtId="4" fontId="0" fillId="9" borderId="29" xfId="0" applyNumberFormat="1" applyFont="1" applyFill="1" applyBorder="1" applyAlignment="1">
      <alignment vertical="center"/>
    </xf>
    <xf numFmtId="1" fontId="0" fillId="9" borderId="2" xfId="0" applyNumberFormat="1" applyFont="1" applyFill="1" applyBorder="1" applyAlignment="1" applyProtection="1">
      <alignment horizontal="right" vertical="center"/>
    </xf>
    <xf numFmtId="165" fontId="0" fillId="9" borderId="20" xfId="0" applyNumberFormat="1" applyFont="1" applyFill="1" applyBorder="1" applyAlignment="1" applyProtection="1">
      <alignment horizontal="left" vertical="center" wrapText="1"/>
    </xf>
    <xf numFmtId="164" fontId="6" fillId="9" borderId="1" xfId="0" applyNumberFormat="1" applyFont="1" applyFill="1" applyBorder="1" applyAlignment="1">
      <alignment horizontal="right" vertical="center" wrapText="1"/>
    </xf>
    <xf numFmtId="3" fontId="0" fillId="9" borderId="1" xfId="0" applyNumberFormat="1" applyFont="1" applyFill="1" applyBorder="1" applyAlignment="1" applyProtection="1">
      <alignment horizontal="left" vertical="center"/>
    </xf>
    <xf numFmtId="3" fontId="0" fillId="9" borderId="1" xfId="0" applyNumberFormat="1" applyFont="1" applyFill="1" applyBorder="1" applyAlignment="1" applyProtection="1">
      <alignment vertical="center"/>
    </xf>
    <xf numFmtId="165" fontId="0" fillId="9" borderId="1" xfId="0" applyNumberFormat="1" applyFont="1" applyFill="1" applyBorder="1" applyAlignment="1" applyProtection="1">
      <alignment horizontal="center" vertical="center" wrapText="1"/>
    </xf>
    <xf numFmtId="3" fontId="0" fillId="9" borderId="3" xfId="0" applyNumberFormat="1" applyFont="1" applyFill="1" applyBorder="1" applyAlignment="1" applyProtection="1">
      <alignment vertical="center"/>
    </xf>
    <xf numFmtId="3" fontId="0" fillId="9" borderId="12" xfId="0" applyNumberFormat="1" applyFont="1" applyFill="1" applyBorder="1" applyAlignment="1" applyProtection="1">
      <alignment vertical="center"/>
    </xf>
    <xf numFmtId="0" fontId="0" fillId="9" borderId="1" xfId="0" applyFont="1" applyFill="1" applyBorder="1" applyAlignment="1">
      <alignment vertical="center" wrapText="1"/>
    </xf>
    <xf numFmtId="165" fontId="0" fillId="9" borderId="1" xfId="0" applyNumberFormat="1" applyFont="1" applyFill="1" applyBorder="1" applyAlignment="1" applyProtection="1">
      <alignment horizontal="left" vertical="center" wrapText="1"/>
    </xf>
    <xf numFmtId="1" fontId="0" fillId="9" borderId="13" xfId="0" applyNumberFormat="1" applyFont="1" applyFill="1" applyBorder="1" applyAlignment="1" applyProtection="1">
      <alignment horizontal="right" vertical="center"/>
    </xf>
    <xf numFmtId="165" fontId="0" fillId="9" borderId="46" xfId="0" applyNumberFormat="1" applyFont="1" applyFill="1" applyBorder="1" applyAlignment="1" applyProtection="1">
      <alignment horizontal="left" vertical="center" wrapText="1"/>
    </xf>
    <xf numFmtId="164" fontId="6" fillId="9" borderId="12" xfId="0" applyNumberFormat="1" applyFont="1" applyFill="1" applyBorder="1" applyAlignment="1">
      <alignment horizontal="right" vertical="center" wrapText="1"/>
    </xf>
    <xf numFmtId="3" fontId="0" fillId="9" borderId="12" xfId="0" applyNumberFormat="1" applyFont="1" applyFill="1" applyBorder="1" applyAlignment="1" applyProtection="1">
      <alignment horizontal="left" vertical="center"/>
    </xf>
    <xf numFmtId="165" fontId="0" fillId="9" borderId="12" xfId="0" applyNumberFormat="1" applyFont="1" applyFill="1" applyBorder="1" applyAlignment="1" applyProtection="1">
      <alignment horizontal="center" vertical="center" wrapText="1"/>
    </xf>
    <xf numFmtId="3" fontId="0" fillId="9" borderId="14" xfId="0" applyNumberFormat="1" applyFont="1" applyFill="1" applyBorder="1" applyAlignment="1" applyProtection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vertical="center"/>
    </xf>
    <xf numFmtId="4" fontId="0" fillId="10" borderId="3" xfId="0" applyNumberFormat="1" applyFont="1" applyFill="1" applyBorder="1" applyAlignment="1" applyProtection="1">
      <alignment vertical="center"/>
    </xf>
    <xf numFmtId="1" fontId="0" fillId="0" borderId="39" xfId="0" applyNumberFormat="1" applyFont="1" applyFill="1" applyBorder="1" applyAlignment="1" applyProtection="1">
      <alignment horizontal="right" vertical="center"/>
    </xf>
    <xf numFmtId="165" fontId="0" fillId="2" borderId="50" xfId="0" applyNumberFormat="1" applyFont="1" applyFill="1" applyBorder="1" applyAlignment="1" applyProtection="1">
      <alignment horizontal="left" vertical="center" wrapText="1"/>
    </xf>
    <xf numFmtId="3" fontId="0" fillId="0" borderId="13" xfId="0" applyNumberFormat="1" applyFont="1" applyFill="1" applyBorder="1" applyAlignment="1" applyProtection="1">
      <alignment vertical="center"/>
    </xf>
    <xf numFmtId="165" fontId="0" fillId="2" borderId="47" xfId="0" applyNumberFormat="1" applyFont="1" applyFill="1" applyBorder="1" applyAlignment="1" applyProtection="1">
      <alignment horizontal="left" vertical="center" wrapText="1"/>
    </xf>
    <xf numFmtId="0" fontId="0" fillId="0" borderId="47" xfId="0" applyFont="1" applyBorder="1" applyAlignment="1">
      <alignment vertical="center" wrapText="1"/>
    </xf>
    <xf numFmtId="165" fontId="0" fillId="2" borderId="48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3" fontId="0" fillId="0" borderId="23" xfId="0" applyNumberFormat="1" applyFont="1" applyFill="1" applyBorder="1" applyAlignment="1" applyProtection="1">
      <alignment horizontal="right" vertical="center"/>
    </xf>
    <xf numFmtId="3" fontId="0" fillId="11" borderId="36" xfId="0" applyNumberFormat="1" applyFont="1" applyFill="1" applyBorder="1" applyAlignment="1" applyProtection="1">
      <alignment vertical="center"/>
    </xf>
    <xf numFmtId="3" fontId="0" fillId="0" borderId="31" xfId="0" applyNumberFormat="1" applyFont="1" applyFill="1" applyBorder="1" applyAlignment="1" applyProtection="1">
      <alignment horizontal="right" vertical="center"/>
    </xf>
    <xf numFmtId="4" fontId="4" fillId="12" borderId="26" xfId="0" applyNumberFormat="1" applyFont="1" applyFill="1" applyBorder="1" applyAlignment="1">
      <alignment horizontal="right"/>
    </xf>
    <xf numFmtId="4" fontId="4" fillId="10" borderId="12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 applyProtection="1">
      <alignment horizontal="right" vertical="center"/>
    </xf>
    <xf numFmtId="4" fontId="4" fillId="12" borderId="36" xfId="0" applyNumberFormat="1" applyFont="1" applyFill="1" applyBorder="1" applyAlignment="1">
      <alignment horizontal="right"/>
    </xf>
    <xf numFmtId="4" fontId="4" fillId="10" borderId="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 applyProtection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" fontId="0" fillId="11" borderId="3" xfId="0" applyNumberFormat="1" applyFont="1" applyFill="1" applyBorder="1" applyAlignment="1" applyProtection="1">
      <alignment vertical="center"/>
    </xf>
    <xf numFmtId="4" fontId="0" fillId="11" borderId="5" xfId="0" applyNumberFormat="1" applyFont="1" applyFill="1" applyBorder="1" applyAlignment="1" applyProtection="1">
      <alignment vertical="center"/>
    </xf>
    <xf numFmtId="4" fontId="0" fillId="0" borderId="24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" fontId="0" fillId="11" borderId="3" xfId="0" applyNumberFormat="1" applyFont="1" applyFill="1" applyBorder="1" applyAlignment="1" applyProtection="1">
      <alignment horizontal="right" vertical="center"/>
    </xf>
    <xf numFmtId="4" fontId="0" fillId="11" borderId="5" xfId="0" applyNumberFormat="1" applyFont="1" applyFill="1" applyBorder="1" applyAlignment="1" applyProtection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5" fillId="10" borderId="1" xfId="0" applyFont="1" applyFill="1" applyBorder="1" applyAlignment="1"/>
    <xf numFmtId="4" fontId="0" fillId="0" borderId="27" xfId="0" applyNumberFormat="1" applyBorder="1"/>
    <xf numFmtId="4" fontId="0" fillId="0" borderId="44" xfId="0" applyNumberFormat="1" applyBorder="1"/>
    <xf numFmtId="4" fontId="0" fillId="0" borderId="11" xfId="0" applyNumberFormat="1" applyBorder="1"/>
    <xf numFmtId="4" fontId="0" fillId="0" borderId="45" xfId="0" applyNumberFormat="1" applyBorder="1"/>
    <xf numFmtId="4" fontId="7" fillId="0" borderId="0" xfId="0" applyNumberFormat="1" applyFont="1" applyFill="1" applyBorder="1" applyAlignment="1" applyProtection="1">
      <alignment horizontal="right" vertical="center"/>
    </xf>
    <xf numFmtId="165" fontId="0" fillId="0" borderId="20" xfId="0" applyNumberFormat="1" applyFont="1" applyFill="1" applyBorder="1" applyAlignment="1" applyProtection="1">
      <alignment horizontal="left" vertical="center" wrapText="1"/>
    </xf>
    <xf numFmtId="0" fontId="0" fillId="9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7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2.%20FEAD/14.%20Monitoring%20et%20statistiques/1.%20Annual%20Implementation%20Report/AIR%202017/VerwerkenStoc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2.%20FEAD/9.%20Production%20et%20livraison%20fabricants/2017/2017%20-%20Suivi%20autorisations%20-%20contr&#244;les%20de%20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raadstaat_2017_bijlage_ix__"/>
    </sheetNames>
    <sheetDataSet>
      <sheetData sheetId="0">
        <row r="688">
          <cell r="CQ688">
            <v>81805</v>
          </cell>
          <cell r="CV688">
            <v>73580</v>
          </cell>
          <cell r="DA688">
            <v>137965</v>
          </cell>
          <cell r="DF688">
            <v>167016</v>
          </cell>
          <cell r="DK688">
            <v>79064</v>
          </cell>
          <cell r="DP688">
            <v>167161</v>
          </cell>
          <cell r="DU688">
            <v>108033</v>
          </cell>
          <cell r="DZ688">
            <v>58525</v>
          </cell>
          <cell r="EE688">
            <v>153116</v>
          </cell>
          <cell r="EJ688">
            <v>293382</v>
          </cell>
          <cell r="EO688">
            <v>118439</v>
          </cell>
          <cell r="ET688">
            <v>151923</v>
          </cell>
          <cell r="EY688">
            <v>20601</v>
          </cell>
          <cell r="FD688">
            <v>108854</v>
          </cell>
          <cell r="FI688">
            <v>115744</v>
          </cell>
          <cell r="FN688">
            <v>131676</v>
          </cell>
          <cell r="FS688">
            <v>182238</v>
          </cell>
          <cell r="FX688">
            <v>135319</v>
          </cell>
          <cell r="GC688">
            <v>163008</v>
          </cell>
          <cell r="GS688">
            <v>738440</v>
          </cell>
          <cell r="GW688">
            <v>14139</v>
          </cell>
          <cell r="HA688">
            <v>102247</v>
          </cell>
          <cell r="HE688">
            <v>411204</v>
          </cell>
          <cell r="HI688">
            <v>302591</v>
          </cell>
          <cell r="HM688">
            <v>340204</v>
          </cell>
          <cell r="HQ688">
            <v>383059</v>
          </cell>
          <cell r="HY688">
            <v>9533</v>
          </cell>
          <cell r="IC688">
            <v>31395</v>
          </cell>
          <cell r="IG688">
            <v>27617</v>
          </cell>
          <cell r="IK688">
            <v>31950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 1 - Lait - Melk"/>
      <sheetName val="LOT 2 - MAQUERAUX - MAKREEL"/>
      <sheetName val="LOT 3 - RIJSTSALADE"/>
      <sheetName val="LOT 4 - Farine - tarwemeel"/>
      <sheetName val="LOT 5 - CAFE - KOFFIE"/>
      <sheetName val="LOT 6 - SPAGHETTI"/>
      <sheetName val="LOT 7 - COQUILLETTES - HORENTJE"/>
      <sheetName val="LOT 8 - Riz"/>
      <sheetName val="LOT 9 - TOMATES"/>
      <sheetName val="LOT 10 - HARICOTS VERTS"/>
      <sheetName val="LOT 11 - Macédoine"/>
      <sheetName val="LOT 12 - Haricots bl - witte bo"/>
      <sheetName val="LOT 13 - MOUSSELINE "/>
      <sheetName val="LOT 14 - FROMAGE - SMELTKAAS"/>
      <sheetName val="LOT 15 - CONFITURE"/>
      <sheetName val="LOT 16 - HUILE OLIVES "/>
      <sheetName val="LOT 17 - GALETTES DE MAIS"/>
      <sheetName val="LOT 18 - CHOCOLAT"/>
      <sheetName val="LOT 19 -BLE - TARWE"/>
      <sheetName val="LOT 20 - FRUITS SECS "/>
      <sheetName val="LOT 21 - POULET - KIP"/>
      <sheetName val="LOT 22 - BOULETTES"/>
      <sheetName val="BEDRAG ANALYSES"/>
    </sheetNames>
    <sheetDataSet>
      <sheetData sheetId="0">
        <row r="2">
          <cell r="F2">
            <v>335232</v>
          </cell>
        </row>
        <row r="3">
          <cell r="F3">
            <v>227232</v>
          </cell>
        </row>
        <row r="4">
          <cell r="F4">
            <v>443784</v>
          </cell>
        </row>
        <row r="5">
          <cell r="F5">
            <v>339960</v>
          </cell>
        </row>
        <row r="6">
          <cell r="F6">
            <v>106272</v>
          </cell>
        </row>
        <row r="7">
          <cell r="F7">
            <v>231066</v>
          </cell>
        </row>
        <row r="8">
          <cell r="F8">
            <v>4320</v>
          </cell>
        </row>
      </sheetData>
      <sheetData sheetId="1">
        <row r="2">
          <cell r="F2">
            <v>256600</v>
          </cell>
        </row>
        <row r="3">
          <cell r="F3">
            <v>128500</v>
          </cell>
        </row>
        <row r="4">
          <cell r="F4">
            <v>128550</v>
          </cell>
        </row>
        <row r="5">
          <cell r="F5">
            <v>257100</v>
          </cell>
        </row>
      </sheetData>
      <sheetData sheetId="2">
        <row r="2">
          <cell r="F2">
            <v>133056</v>
          </cell>
        </row>
        <row r="3">
          <cell r="F3">
            <v>66528</v>
          </cell>
        </row>
        <row r="4">
          <cell r="F4">
            <v>133056</v>
          </cell>
        </row>
        <row r="5">
          <cell r="F5">
            <v>133056</v>
          </cell>
        </row>
      </sheetData>
      <sheetData sheetId="3">
        <row r="2">
          <cell r="F2">
            <v>148480</v>
          </cell>
        </row>
        <row r="3">
          <cell r="F3">
            <v>99980</v>
          </cell>
        </row>
        <row r="4">
          <cell r="F4">
            <v>245560</v>
          </cell>
        </row>
        <row r="5">
          <cell r="F5">
            <v>99000</v>
          </cell>
        </row>
        <row r="6">
          <cell r="F6">
            <v>148500</v>
          </cell>
        </row>
        <row r="7">
          <cell r="F7">
            <v>99000</v>
          </cell>
        </row>
        <row r="8">
          <cell r="F8">
            <v>144540</v>
          </cell>
        </row>
      </sheetData>
      <sheetData sheetId="4"/>
      <sheetData sheetId="5"/>
      <sheetData sheetId="6"/>
      <sheetData sheetId="7">
        <row r="2">
          <cell r="F2">
            <v>456900</v>
          </cell>
        </row>
        <row r="3">
          <cell r="F3">
            <v>474880</v>
          </cell>
        </row>
      </sheetData>
      <sheetData sheetId="8"/>
      <sheetData sheetId="9"/>
      <sheetData sheetId="10">
        <row r="2">
          <cell r="F2">
            <v>310608</v>
          </cell>
        </row>
        <row r="3">
          <cell r="F3">
            <v>362880</v>
          </cell>
        </row>
        <row r="4">
          <cell r="F4">
            <v>331776</v>
          </cell>
        </row>
      </sheetData>
      <sheetData sheetId="11">
        <row r="2">
          <cell r="F2">
            <v>282024</v>
          </cell>
        </row>
        <row r="3">
          <cell r="F3">
            <v>-44352</v>
          </cell>
        </row>
        <row r="4">
          <cell r="F4">
            <v>193500</v>
          </cell>
        </row>
        <row r="5">
          <cell r="F5">
            <v>391608</v>
          </cell>
        </row>
        <row r="6">
          <cell r="F6">
            <v>-888</v>
          </cell>
        </row>
        <row r="7">
          <cell r="F7">
            <v>106320</v>
          </cell>
        </row>
        <row r="8">
          <cell r="F8">
            <v>360</v>
          </cell>
        </row>
      </sheetData>
      <sheetData sheetId="12"/>
      <sheetData sheetId="13">
        <row r="2">
          <cell r="F2">
            <v>253440</v>
          </cell>
        </row>
        <row r="3">
          <cell r="F3">
            <v>126720</v>
          </cell>
        </row>
      </sheetData>
      <sheetData sheetId="14"/>
      <sheetData sheetId="15">
        <row r="2">
          <cell r="F2">
            <v>24528</v>
          </cell>
        </row>
        <row r="3">
          <cell r="F3">
            <v>48768</v>
          </cell>
        </row>
        <row r="4">
          <cell r="F4">
            <v>24360</v>
          </cell>
        </row>
        <row r="5">
          <cell r="F5">
            <v>73188</v>
          </cell>
        </row>
        <row r="6">
          <cell r="F6">
            <v>24384</v>
          </cell>
        </row>
      </sheetData>
      <sheetData sheetId="16"/>
      <sheetData sheetId="17">
        <row r="2">
          <cell r="F2">
            <v>188970</v>
          </cell>
        </row>
        <row r="3">
          <cell r="F3">
            <v>188940</v>
          </cell>
        </row>
      </sheetData>
      <sheetData sheetId="18">
        <row r="2">
          <cell r="F2">
            <v>29136</v>
          </cell>
        </row>
        <row r="3">
          <cell r="F3">
            <v>41856</v>
          </cell>
        </row>
        <row r="4">
          <cell r="F4">
            <v>29184</v>
          </cell>
        </row>
        <row r="5">
          <cell r="F5">
            <v>43776</v>
          </cell>
        </row>
        <row r="6">
          <cell r="F6">
            <v>39920</v>
          </cell>
        </row>
        <row r="7">
          <cell r="F7">
            <v>912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tabSelected="1" zoomScale="90" zoomScaleNormal="90" workbookViewId="0">
      <pane ySplit="2" topLeftCell="A18" activePane="bottomLeft" state="frozen"/>
      <selection pane="bottomLeft" activeCell="G70" sqref="G70"/>
    </sheetView>
  </sheetViews>
  <sheetFormatPr defaultColWidth="9.1796875" defaultRowHeight="14.5" x14ac:dyDescent="0.35"/>
  <cols>
    <col min="1" max="1" width="8.1796875" style="2" customWidth="1"/>
    <col min="2" max="2" width="45.54296875" style="2" customWidth="1"/>
    <col min="3" max="3" width="16.26953125" customWidth="1"/>
    <col min="4" max="5" width="16.26953125" style="28" customWidth="1"/>
    <col min="6" max="6" width="20.81640625" style="28" customWidth="1"/>
    <col min="7" max="7" width="18.453125" customWidth="1"/>
    <col min="8" max="8" width="12.1796875" style="28" customWidth="1"/>
    <col min="9" max="9" width="10.26953125" customWidth="1"/>
    <col min="10" max="10" width="12.7265625" customWidth="1"/>
    <col min="11" max="11" width="8.1796875" style="28" customWidth="1"/>
    <col min="12" max="12" width="45.54296875" style="28" customWidth="1"/>
    <col min="13" max="13" width="16.26953125" style="28" customWidth="1"/>
    <col min="14" max="14" width="17.1796875" style="28" customWidth="1"/>
    <col min="15" max="15" width="15.1796875" style="28" customWidth="1"/>
    <col min="16" max="16" width="14.1796875" style="28" customWidth="1"/>
    <col min="17" max="17" width="19.26953125" style="28" customWidth="1"/>
    <col min="18" max="18" width="10.26953125" style="28" customWidth="1"/>
    <col min="19" max="19" width="12.7265625" style="28" customWidth="1"/>
    <col min="20" max="20" width="8.1796875" style="28" customWidth="1"/>
    <col min="21" max="21" width="57.7265625" style="28" customWidth="1"/>
    <col min="22" max="22" width="18.81640625" style="28" customWidth="1"/>
    <col min="23" max="23" width="16.26953125" style="28" customWidth="1"/>
    <col min="24" max="24" width="17.1796875" style="28" customWidth="1"/>
    <col min="25" max="25" width="12.1796875" style="28" customWidth="1"/>
    <col min="26" max="26" width="19.26953125" style="28" customWidth="1"/>
    <col min="27" max="27" width="10.26953125" style="28" customWidth="1"/>
    <col min="28" max="28" width="12.7265625" style="28" customWidth="1"/>
    <col min="29" max="29" width="14.453125" style="4" customWidth="1"/>
    <col min="30" max="30" width="12.1796875" customWidth="1"/>
    <col min="31" max="31" width="14.54296875" customWidth="1"/>
    <col min="32" max="32" width="10.26953125" customWidth="1"/>
    <col min="33" max="33" width="15.453125" customWidth="1"/>
  </cols>
  <sheetData>
    <row r="1" spans="1:33" s="2" customFormat="1" ht="48" customHeight="1" thickBot="1" x14ac:dyDescent="0.6">
      <c r="A1" s="246" t="s">
        <v>62</v>
      </c>
      <c r="B1" s="247"/>
      <c r="C1" s="247"/>
      <c r="D1" s="247"/>
      <c r="E1" s="247"/>
      <c r="F1" s="247"/>
      <c r="G1" s="247"/>
      <c r="H1" s="247"/>
      <c r="I1" s="247"/>
      <c r="J1" s="248"/>
      <c r="K1" s="249" t="s">
        <v>90</v>
      </c>
      <c r="L1" s="250"/>
      <c r="M1" s="250"/>
      <c r="N1" s="250"/>
      <c r="O1" s="250"/>
      <c r="P1" s="250"/>
      <c r="Q1" s="250"/>
      <c r="R1" s="250"/>
      <c r="S1" s="251"/>
      <c r="T1" s="249" t="s">
        <v>88</v>
      </c>
      <c r="U1" s="250"/>
      <c r="V1" s="250"/>
      <c r="W1" s="250"/>
      <c r="X1" s="250"/>
      <c r="Y1" s="250"/>
      <c r="Z1" s="250"/>
      <c r="AA1" s="250"/>
      <c r="AB1" s="251"/>
      <c r="AC1" s="243" t="s">
        <v>91</v>
      </c>
      <c r="AD1" s="244"/>
      <c r="AE1" s="244"/>
      <c r="AF1" s="244"/>
      <c r="AG1" s="245"/>
    </row>
    <row r="2" spans="1:33" s="1" customFormat="1" ht="68.25" customHeight="1" thickBot="1" x14ac:dyDescent="0.4">
      <c r="A2" s="5" t="s">
        <v>5</v>
      </c>
      <c r="B2" s="10" t="s">
        <v>6</v>
      </c>
      <c r="C2" s="10" t="s">
        <v>92</v>
      </c>
      <c r="D2" s="30" t="s">
        <v>93</v>
      </c>
      <c r="E2" s="30" t="s">
        <v>94</v>
      </c>
      <c r="F2" s="30" t="s">
        <v>60</v>
      </c>
      <c r="G2" s="10" t="s">
        <v>7</v>
      </c>
      <c r="H2" s="30" t="s">
        <v>8</v>
      </c>
      <c r="I2" s="9" t="s">
        <v>9</v>
      </c>
      <c r="J2" s="11" t="s">
        <v>10</v>
      </c>
      <c r="K2" s="5" t="s">
        <v>5</v>
      </c>
      <c r="L2" s="30" t="s">
        <v>6</v>
      </c>
      <c r="M2" s="30" t="s">
        <v>92</v>
      </c>
      <c r="N2" s="30" t="s">
        <v>99</v>
      </c>
      <c r="O2" s="30" t="s">
        <v>100</v>
      </c>
      <c r="P2" s="30" t="s">
        <v>7</v>
      </c>
      <c r="Q2" s="30" t="s">
        <v>8</v>
      </c>
      <c r="R2" s="9" t="s">
        <v>9</v>
      </c>
      <c r="S2" s="11" t="s">
        <v>10</v>
      </c>
      <c r="T2" s="5" t="s">
        <v>5</v>
      </c>
      <c r="U2" s="30" t="s">
        <v>6</v>
      </c>
      <c r="V2" s="30" t="s">
        <v>2</v>
      </c>
      <c r="W2" s="30" t="s">
        <v>20</v>
      </c>
      <c r="X2" s="30" t="s">
        <v>89</v>
      </c>
      <c r="Y2" s="30" t="s">
        <v>7</v>
      </c>
      <c r="Z2" s="30" t="s">
        <v>102</v>
      </c>
      <c r="AA2" s="9" t="s">
        <v>9</v>
      </c>
      <c r="AB2" s="11" t="s">
        <v>10</v>
      </c>
      <c r="AC2" s="13" t="s">
        <v>11</v>
      </c>
      <c r="AD2" s="10" t="s">
        <v>7</v>
      </c>
      <c r="AE2" s="10" t="s">
        <v>8</v>
      </c>
      <c r="AF2" s="9" t="s">
        <v>9</v>
      </c>
      <c r="AG2" s="11" t="s">
        <v>10</v>
      </c>
    </row>
    <row r="3" spans="1:33" s="1" customFormat="1" ht="74.25" customHeight="1" thickBot="1" x14ac:dyDescent="0.4">
      <c r="A3" s="94" t="s">
        <v>0</v>
      </c>
      <c r="B3" s="40" t="s">
        <v>1</v>
      </c>
      <c r="C3" s="40" t="s">
        <v>58</v>
      </c>
      <c r="D3" s="40" t="s">
        <v>59</v>
      </c>
      <c r="E3" s="95" t="s">
        <v>95</v>
      </c>
      <c r="F3" s="40" t="s">
        <v>61</v>
      </c>
      <c r="G3" s="40" t="s">
        <v>96</v>
      </c>
      <c r="H3" s="40" t="s">
        <v>3</v>
      </c>
      <c r="I3" s="42" t="s">
        <v>4</v>
      </c>
      <c r="J3" s="96" t="s">
        <v>97</v>
      </c>
      <c r="K3" s="94" t="s">
        <v>0</v>
      </c>
      <c r="L3" s="40" t="s">
        <v>1</v>
      </c>
      <c r="M3" s="40" t="s">
        <v>58</v>
      </c>
      <c r="N3" s="40" t="s">
        <v>95</v>
      </c>
      <c r="O3" s="40" t="s">
        <v>101</v>
      </c>
      <c r="P3" s="40" t="s">
        <v>96</v>
      </c>
      <c r="Q3" s="40" t="s">
        <v>3</v>
      </c>
      <c r="R3" s="42" t="s">
        <v>4</v>
      </c>
      <c r="S3" s="43" t="s">
        <v>97</v>
      </c>
      <c r="T3" s="94" t="s">
        <v>0</v>
      </c>
      <c r="U3" s="40" t="s">
        <v>1</v>
      </c>
      <c r="V3" s="40" t="s">
        <v>2</v>
      </c>
      <c r="W3" s="40" t="s">
        <v>124</v>
      </c>
      <c r="X3" s="40" t="s">
        <v>125</v>
      </c>
      <c r="Y3" s="40" t="s">
        <v>96</v>
      </c>
      <c r="Z3" s="40" t="s">
        <v>126</v>
      </c>
      <c r="AA3" s="42" t="s">
        <v>4</v>
      </c>
      <c r="AB3" s="43" t="s">
        <v>97</v>
      </c>
      <c r="AC3" s="161" t="s">
        <v>103</v>
      </c>
      <c r="AD3" s="162" t="s">
        <v>104</v>
      </c>
      <c r="AE3" s="162" t="s">
        <v>3</v>
      </c>
      <c r="AF3" s="163" t="s">
        <v>4</v>
      </c>
      <c r="AG3" s="164" t="s">
        <v>105</v>
      </c>
    </row>
    <row r="4" spans="1:33" s="12" customFormat="1" ht="30" customHeight="1" x14ac:dyDescent="0.35">
      <c r="A4" s="51">
        <v>1</v>
      </c>
      <c r="B4" s="52" t="s">
        <v>12</v>
      </c>
      <c r="C4" s="53">
        <v>5099575</v>
      </c>
      <c r="D4" s="63">
        <v>1093553</v>
      </c>
      <c r="E4" s="63">
        <v>3911416</v>
      </c>
      <c r="F4" s="65">
        <f>C4-D4-E4</f>
        <v>94606</v>
      </c>
      <c r="G4" s="54" t="s">
        <v>30</v>
      </c>
      <c r="H4" s="54">
        <f>F4</f>
        <v>94606</v>
      </c>
      <c r="I4" s="22" t="s">
        <v>36</v>
      </c>
      <c r="J4" s="27">
        <f>F4/1000*1.03</f>
        <v>97.444180000000003</v>
      </c>
      <c r="K4" s="35"/>
      <c r="L4" s="36"/>
      <c r="M4" s="36"/>
      <c r="N4" s="36"/>
      <c r="O4" s="36"/>
      <c r="P4" s="36"/>
      <c r="Q4" s="36"/>
      <c r="R4" s="36"/>
      <c r="S4" s="19"/>
      <c r="T4" s="35"/>
      <c r="U4" s="36"/>
      <c r="V4" s="36"/>
      <c r="W4" s="36"/>
      <c r="X4" s="36"/>
      <c r="Y4" s="36"/>
      <c r="Z4" s="36"/>
      <c r="AA4" s="36"/>
      <c r="AB4" s="19"/>
      <c r="AC4" s="38">
        <v>94606</v>
      </c>
      <c r="AD4" s="54" t="s">
        <v>30</v>
      </c>
      <c r="AE4" s="228">
        <v>94606</v>
      </c>
      <c r="AF4" s="22" t="s">
        <v>36</v>
      </c>
      <c r="AG4" s="27">
        <f>AC4/1000*1.03</f>
        <v>97.444180000000003</v>
      </c>
    </row>
    <row r="5" spans="1:33" s="12" customFormat="1" ht="30" customHeight="1" x14ac:dyDescent="0.35">
      <c r="A5" s="26">
        <v>2</v>
      </c>
      <c r="B5" s="25" t="s">
        <v>43</v>
      </c>
      <c r="C5" s="23">
        <v>965357</v>
      </c>
      <c r="D5" s="23">
        <v>0</v>
      </c>
      <c r="E5" s="23">
        <v>4060</v>
      </c>
      <c r="F5" s="23">
        <f t="shared" ref="F5:F18" si="0">C5-D5-E5</f>
        <v>961297</v>
      </c>
      <c r="G5" s="14" t="s">
        <v>31</v>
      </c>
      <c r="H5" s="14">
        <f>F5*125</f>
        <v>120162125</v>
      </c>
      <c r="I5" s="50" t="s">
        <v>37</v>
      </c>
      <c r="J5" s="15">
        <f>H5/1000000</f>
        <v>120.162125</v>
      </c>
      <c r="K5" s="49"/>
      <c r="L5" s="48"/>
      <c r="M5" s="48"/>
      <c r="N5" s="48"/>
      <c r="O5" s="48"/>
      <c r="P5" s="48"/>
      <c r="Q5" s="48"/>
      <c r="R5" s="48"/>
      <c r="S5" s="33"/>
      <c r="T5" s="49"/>
      <c r="U5" s="48"/>
      <c r="V5" s="48"/>
      <c r="W5" s="48"/>
      <c r="X5" s="48"/>
      <c r="Y5" s="48"/>
      <c r="Z5" s="48"/>
      <c r="AA5" s="48"/>
      <c r="AB5" s="33"/>
      <c r="AC5" s="66">
        <v>961297</v>
      </c>
      <c r="AD5" s="14" t="s">
        <v>31</v>
      </c>
      <c r="AE5" s="229">
        <v>120162125</v>
      </c>
      <c r="AF5" s="50" t="s">
        <v>37</v>
      </c>
      <c r="AG5" s="15">
        <f>AE5/1000000</f>
        <v>120.162125</v>
      </c>
    </row>
    <row r="6" spans="1:33" s="12" customFormat="1" ht="30" customHeight="1" x14ac:dyDescent="0.35">
      <c r="A6" s="18">
        <v>3</v>
      </c>
      <c r="B6" s="21" t="s">
        <v>23</v>
      </c>
      <c r="C6" s="24">
        <v>1795725</v>
      </c>
      <c r="D6" s="64">
        <v>462162</v>
      </c>
      <c r="E6" s="64">
        <v>926178</v>
      </c>
      <c r="F6" s="23">
        <f t="shared" si="0"/>
        <v>407385</v>
      </c>
      <c r="G6" s="16" t="s">
        <v>35</v>
      </c>
      <c r="H6" s="16">
        <f>F6*400</f>
        <v>162954000</v>
      </c>
      <c r="I6" s="50" t="s">
        <v>37</v>
      </c>
      <c r="J6" s="15">
        <f t="shared" ref="J6:J13" si="1">H6/1000000</f>
        <v>162.95400000000001</v>
      </c>
      <c r="K6" s="49"/>
      <c r="L6" s="48"/>
      <c r="M6" s="48"/>
      <c r="N6" s="48"/>
      <c r="O6" s="48"/>
      <c r="P6" s="48"/>
      <c r="Q6" s="48"/>
      <c r="R6" s="48"/>
      <c r="S6" s="33"/>
      <c r="T6" s="49"/>
      <c r="U6" s="48"/>
      <c r="V6" s="48"/>
      <c r="W6" s="48"/>
      <c r="X6" s="48"/>
      <c r="Y6" s="48"/>
      <c r="Z6" s="48"/>
      <c r="AA6" s="48"/>
      <c r="AB6" s="33"/>
      <c r="AC6" s="39">
        <v>407385</v>
      </c>
      <c r="AD6" s="16" t="s">
        <v>35</v>
      </c>
      <c r="AE6" s="230">
        <v>162954000</v>
      </c>
      <c r="AF6" s="50" t="s">
        <v>37</v>
      </c>
      <c r="AG6" s="15">
        <f t="shared" ref="AG6:AG13" si="2">AE6/1000000</f>
        <v>162.95400000000001</v>
      </c>
    </row>
    <row r="7" spans="1:33" s="12" customFormat="1" ht="30" customHeight="1" x14ac:dyDescent="0.35">
      <c r="A7" s="18">
        <v>4</v>
      </c>
      <c r="B7" s="21" t="s">
        <v>24</v>
      </c>
      <c r="C7" s="24">
        <v>1254769</v>
      </c>
      <c r="D7" s="64">
        <v>356054</v>
      </c>
      <c r="E7" s="64">
        <v>794561</v>
      </c>
      <c r="F7" s="23">
        <f t="shared" si="0"/>
        <v>104154</v>
      </c>
      <c r="G7" s="16" t="s">
        <v>35</v>
      </c>
      <c r="H7" s="16">
        <f>F7*400</f>
        <v>41661600</v>
      </c>
      <c r="I7" s="50" t="s">
        <v>37</v>
      </c>
      <c r="J7" s="15">
        <f t="shared" si="1"/>
        <v>41.6616</v>
      </c>
      <c r="K7" s="49"/>
      <c r="L7" s="48"/>
      <c r="M7" s="48"/>
      <c r="N7" s="48"/>
      <c r="O7" s="48"/>
      <c r="P7" s="48"/>
      <c r="Q7" s="48"/>
      <c r="R7" s="48"/>
      <c r="S7" s="33"/>
      <c r="T7" s="49"/>
      <c r="U7" s="48"/>
      <c r="V7" s="48"/>
      <c r="W7" s="48"/>
      <c r="X7" s="48"/>
      <c r="Y7" s="48"/>
      <c r="Z7" s="48"/>
      <c r="AA7" s="48"/>
      <c r="AB7" s="33"/>
      <c r="AC7" s="39">
        <v>104154</v>
      </c>
      <c r="AD7" s="16" t="s">
        <v>35</v>
      </c>
      <c r="AE7" s="230">
        <v>41661600</v>
      </c>
      <c r="AF7" s="50" t="s">
        <v>37</v>
      </c>
      <c r="AG7" s="15">
        <f t="shared" si="2"/>
        <v>41.6616</v>
      </c>
    </row>
    <row r="8" spans="1:33" s="12" customFormat="1" ht="30" customHeight="1" x14ac:dyDescent="0.35">
      <c r="A8" s="18">
        <v>5</v>
      </c>
      <c r="B8" s="21" t="s">
        <v>38</v>
      </c>
      <c r="C8" s="24">
        <v>1206044</v>
      </c>
      <c r="D8" s="23">
        <v>0</v>
      </c>
      <c r="E8" s="23">
        <v>1059359</v>
      </c>
      <c r="F8" s="23">
        <f t="shared" si="0"/>
        <v>146685</v>
      </c>
      <c r="G8" s="16" t="s">
        <v>33</v>
      </c>
      <c r="H8" s="16">
        <f>F8*1000</f>
        <v>146685000</v>
      </c>
      <c r="I8" s="50" t="s">
        <v>37</v>
      </c>
      <c r="J8" s="15">
        <f t="shared" si="1"/>
        <v>146.685</v>
      </c>
      <c r="K8" s="49"/>
      <c r="L8" s="48"/>
      <c r="M8" s="48"/>
      <c r="N8" s="48"/>
      <c r="O8" s="48"/>
      <c r="P8" s="48"/>
      <c r="Q8" s="48"/>
      <c r="R8" s="48"/>
      <c r="S8" s="33"/>
      <c r="T8" s="49"/>
      <c r="U8" s="48"/>
      <c r="V8" s="48"/>
      <c r="W8" s="48"/>
      <c r="X8" s="48"/>
      <c r="Y8" s="48"/>
      <c r="Z8" s="48"/>
      <c r="AA8" s="48"/>
      <c r="AB8" s="33"/>
      <c r="AC8" s="39">
        <v>146685</v>
      </c>
      <c r="AD8" s="16" t="s">
        <v>33</v>
      </c>
      <c r="AE8" s="230">
        <v>146685000</v>
      </c>
      <c r="AF8" s="50" t="s">
        <v>37</v>
      </c>
      <c r="AG8" s="15">
        <f t="shared" si="2"/>
        <v>146.685</v>
      </c>
    </row>
    <row r="9" spans="1:33" s="12" customFormat="1" ht="30" customHeight="1" x14ac:dyDescent="0.35">
      <c r="A9" s="18">
        <v>6</v>
      </c>
      <c r="B9" s="21" t="s">
        <v>22</v>
      </c>
      <c r="C9" s="24">
        <v>1876584</v>
      </c>
      <c r="D9" s="64">
        <v>16137</v>
      </c>
      <c r="E9" s="64">
        <v>1216027</v>
      </c>
      <c r="F9" s="23">
        <f t="shared" si="0"/>
        <v>644420</v>
      </c>
      <c r="G9" s="16" t="s">
        <v>34</v>
      </c>
      <c r="H9" s="16">
        <f>F9*500</f>
        <v>322210000</v>
      </c>
      <c r="I9" s="50" t="s">
        <v>37</v>
      </c>
      <c r="J9" s="15">
        <f t="shared" si="1"/>
        <v>322.20999999999998</v>
      </c>
      <c r="K9" s="49"/>
      <c r="L9" s="48"/>
      <c r="M9" s="48"/>
      <c r="N9" s="48"/>
      <c r="O9" s="48"/>
      <c r="P9" s="48"/>
      <c r="Q9" s="48"/>
      <c r="R9" s="48"/>
      <c r="S9" s="33"/>
      <c r="T9" s="49"/>
      <c r="U9" s="48"/>
      <c r="V9" s="48"/>
      <c r="W9" s="48"/>
      <c r="X9" s="48"/>
      <c r="Y9" s="48"/>
      <c r="Z9" s="48"/>
      <c r="AA9" s="48"/>
      <c r="AB9" s="33"/>
      <c r="AC9" s="39">
        <v>644420</v>
      </c>
      <c r="AD9" s="16" t="s">
        <v>34</v>
      </c>
      <c r="AE9" s="230">
        <v>322210000</v>
      </c>
      <c r="AF9" s="50" t="s">
        <v>37</v>
      </c>
      <c r="AG9" s="15">
        <f t="shared" si="2"/>
        <v>322.20999999999998</v>
      </c>
    </row>
    <row r="10" spans="1:33" s="12" customFormat="1" ht="30" customHeight="1" x14ac:dyDescent="0.35">
      <c r="A10" s="18">
        <v>7</v>
      </c>
      <c r="B10" s="21" t="s">
        <v>13</v>
      </c>
      <c r="C10" s="24">
        <v>1902978</v>
      </c>
      <c r="D10" s="64">
        <v>427913</v>
      </c>
      <c r="E10" s="64">
        <v>1305721</v>
      </c>
      <c r="F10" s="23">
        <f t="shared" si="0"/>
        <v>169344</v>
      </c>
      <c r="G10" s="16" t="s">
        <v>35</v>
      </c>
      <c r="H10" s="16">
        <f>F10*400</f>
        <v>67737600</v>
      </c>
      <c r="I10" s="50" t="s">
        <v>37</v>
      </c>
      <c r="J10" s="15">
        <f t="shared" si="1"/>
        <v>67.7376</v>
      </c>
      <c r="K10" s="49"/>
      <c r="L10" s="48"/>
      <c r="M10" s="48"/>
      <c r="N10" s="48"/>
      <c r="O10" s="48"/>
      <c r="P10" s="48"/>
      <c r="Q10" s="48"/>
      <c r="R10" s="48"/>
      <c r="S10" s="33"/>
      <c r="T10" s="49"/>
      <c r="U10" s="48"/>
      <c r="V10" s="48"/>
      <c r="W10" s="48"/>
      <c r="X10" s="48"/>
      <c r="Y10" s="48"/>
      <c r="Z10" s="48"/>
      <c r="AA10" s="48"/>
      <c r="AB10" s="33"/>
      <c r="AC10" s="39">
        <v>169344</v>
      </c>
      <c r="AD10" s="16" t="s">
        <v>35</v>
      </c>
      <c r="AE10" s="230">
        <v>67737600</v>
      </c>
      <c r="AF10" s="50" t="s">
        <v>37</v>
      </c>
      <c r="AG10" s="15">
        <f t="shared" si="2"/>
        <v>67.7376</v>
      </c>
    </row>
    <row r="11" spans="1:33" s="12" customFormat="1" ht="30" customHeight="1" x14ac:dyDescent="0.35">
      <c r="A11" s="18">
        <v>8</v>
      </c>
      <c r="B11" s="21" t="s">
        <v>25</v>
      </c>
      <c r="C11" s="24">
        <v>1527213</v>
      </c>
      <c r="D11" s="64">
        <v>218083</v>
      </c>
      <c r="E11" s="64">
        <v>1126592</v>
      </c>
      <c r="F11" s="23">
        <f t="shared" si="0"/>
        <v>182538</v>
      </c>
      <c r="G11" s="16" t="s">
        <v>35</v>
      </c>
      <c r="H11" s="16">
        <f>F11*400</f>
        <v>73015200</v>
      </c>
      <c r="I11" s="50" t="s">
        <v>37</v>
      </c>
      <c r="J11" s="15">
        <f t="shared" si="1"/>
        <v>73.015199999999993</v>
      </c>
      <c r="K11" s="49"/>
      <c r="L11" s="48"/>
      <c r="M11" s="48"/>
      <c r="N11" s="48"/>
      <c r="O11" s="48"/>
      <c r="P11" s="48"/>
      <c r="Q11" s="48"/>
      <c r="R11" s="48"/>
      <c r="S11" s="33"/>
      <c r="T11" s="49"/>
      <c r="U11" s="48"/>
      <c r="V11" s="48"/>
      <c r="W11" s="48"/>
      <c r="X11" s="48"/>
      <c r="Y11" s="48"/>
      <c r="Z11" s="48"/>
      <c r="AA11" s="48"/>
      <c r="AB11" s="33"/>
      <c r="AC11" s="39">
        <v>182538</v>
      </c>
      <c r="AD11" s="16" t="s">
        <v>35</v>
      </c>
      <c r="AE11" s="230">
        <v>73015200</v>
      </c>
      <c r="AF11" s="50" t="s">
        <v>37</v>
      </c>
      <c r="AG11" s="15">
        <f t="shared" si="2"/>
        <v>73.015199999999993</v>
      </c>
    </row>
    <row r="12" spans="1:33" s="12" customFormat="1" ht="30" customHeight="1" x14ac:dyDescent="0.35">
      <c r="A12" s="18">
        <v>9</v>
      </c>
      <c r="B12" s="21" t="s">
        <v>26</v>
      </c>
      <c r="C12" s="32">
        <v>1598779</v>
      </c>
      <c r="D12" s="64">
        <v>339770</v>
      </c>
      <c r="E12" s="64">
        <v>1191489</v>
      </c>
      <c r="F12" s="23">
        <f t="shared" si="0"/>
        <v>67520</v>
      </c>
      <c r="G12" s="16" t="s">
        <v>39</v>
      </c>
      <c r="H12" s="16">
        <f>F12*140</f>
        <v>9452800</v>
      </c>
      <c r="I12" s="50" t="s">
        <v>37</v>
      </c>
      <c r="J12" s="15">
        <f t="shared" si="1"/>
        <v>9.4527999999999999</v>
      </c>
      <c r="K12" s="49"/>
      <c r="L12" s="48"/>
      <c r="M12" s="48"/>
      <c r="N12" s="48"/>
      <c r="O12" s="48"/>
      <c r="P12" s="48"/>
      <c r="Q12" s="48"/>
      <c r="R12" s="48"/>
      <c r="S12" s="33"/>
      <c r="T12" s="49"/>
      <c r="U12" s="48"/>
      <c r="V12" s="48"/>
      <c r="W12" s="48"/>
      <c r="X12" s="48"/>
      <c r="Y12" s="48"/>
      <c r="Z12" s="48"/>
      <c r="AA12" s="48"/>
      <c r="AB12" s="33"/>
      <c r="AC12" s="39">
        <v>67520</v>
      </c>
      <c r="AD12" s="16" t="s">
        <v>39</v>
      </c>
      <c r="AE12" s="230">
        <v>9452800</v>
      </c>
      <c r="AF12" s="50" t="s">
        <v>37</v>
      </c>
      <c r="AG12" s="15">
        <f t="shared" si="2"/>
        <v>9.4527999999999999</v>
      </c>
    </row>
    <row r="13" spans="1:33" s="12" customFormat="1" ht="30" customHeight="1" x14ac:dyDescent="0.35">
      <c r="A13" s="18">
        <v>10</v>
      </c>
      <c r="B13" s="21" t="s">
        <v>44</v>
      </c>
      <c r="C13" s="24">
        <v>2364288</v>
      </c>
      <c r="D13" s="64">
        <v>0</v>
      </c>
      <c r="E13" s="64">
        <v>1564146</v>
      </c>
      <c r="F13" s="23">
        <f t="shared" si="0"/>
        <v>800142</v>
      </c>
      <c r="G13" s="16" t="s">
        <v>40</v>
      </c>
      <c r="H13" s="16">
        <f>F13*370</f>
        <v>296052540</v>
      </c>
      <c r="I13" s="50" t="s">
        <v>37</v>
      </c>
      <c r="J13" s="15">
        <f t="shared" si="1"/>
        <v>296.05254000000002</v>
      </c>
      <c r="K13" s="49"/>
      <c r="L13" s="48"/>
      <c r="M13" s="48"/>
      <c r="N13" s="48"/>
      <c r="O13" s="48"/>
      <c r="P13" s="48"/>
      <c r="Q13" s="48"/>
      <c r="R13" s="48"/>
      <c r="S13" s="33"/>
      <c r="T13" s="49"/>
      <c r="U13" s="48"/>
      <c r="V13" s="48"/>
      <c r="W13" s="48"/>
      <c r="X13" s="48"/>
      <c r="Y13" s="48"/>
      <c r="Z13" s="48"/>
      <c r="AA13" s="48"/>
      <c r="AB13" s="33"/>
      <c r="AC13" s="39">
        <v>800142</v>
      </c>
      <c r="AD13" s="16" t="s">
        <v>40</v>
      </c>
      <c r="AE13" s="231">
        <v>296052540</v>
      </c>
      <c r="AF13" s="50" t="s">
        <v>37</v>
      </c>
      <c r="AG13" s="15">
        <f t="shared" si="2"/>
        <v>296.05254000000002</v>
      </c>
    </row>
    <row r="14" spans="1:33" s="12" customFormat="1" ht="30" customHeight="1" x14ac:dyDescent="0.35">
      <c r="A14" s="18">
        <v>11</v>
      </c>
      <c r="B14" s="21" t="s">
        <v>27</v>
      </c>
      <c r="C14" s="24">
        <v>187560</v>
      </c>
      <c r="D14" s="64">
        <v>41396</v>
      </c>
      <c r="E14" s="64">
        <v>136167</v>
      </c>
      <c r="F14" s="23">
        <f t="shared" si="0"/>
        <v>9997</v>
      </c>
      <c r="G14" s="16" t="s">
        <v>30</v>
      </c>
      <c r="H14" s="16">
        <f>F14</f>
        <v>9997</v>
      </c>
      <c r="I14" s="50" t="s">
        <v>36</v>
      </c>
      <c r="J14" s="55">
        <f>H14/1000*0.92</f>
        <v>9.1972400000000007</v>
      </c>
      <c r="K14" s="37"/>
      <c r="L14" s="34"/>
      <c r="M14" s="34"/>
      <c r="N14" s="34"/>
      <c r="O14" s="34"/>
      <c r="P14" s="34"/>
      <c r="Q14" s="34"/>
      <c r="R14" s="34"/>
      <c r="S14" s="20"/>
      <c r="T14" s="37"/>
      <c r="U14" s="34"/>
      <c r="V14" s="34"/>
      <c r="W14" s="34"/>
      <c r="X14" s="34"/>
      <c r="Y14" s="34"/>
      <c r="Z14" s="34"/>
      <c r="AA14" s="34"/>
      <c r="AB14" s="20"/>
      <c r="AC14" s="39">
        <v>9997</v>
      </c>
      <c r="AD14" s="16" t="s">
        <v>30</v>
      </c>
      <c r="AE14" s="230">
        <v>9997</v>
      </c>
      <c r="AF14" s="50" t="s">
        <v>36</v>
      </c>
      <c r="AG14" s="55">
        <f>AE14/1000*0.92</f>
        <v>9.1972400000000007</v>
      </c>
    </row>
    <row r="15" spans="1:33" s="12" customFormat="1" ht="30" customHeight="1" x14ac:dyDescent="0.35">
      <c r="A15" s="18">
        <v>12</v>
      </c>
      <c r="B15" s="21" t="s">
        <v>28</v>
      </c>
      <c r="C15" s="23">
        <v>965357</v>
      </c>
      <c r="D15" s="64">
        <v>241899</v>
      </c>
      <c r="E15" s="64">
        <v>608122</v>
      </c>
      <c r="F15" s="23">
        <f t="shared" si="0"/>
        <v>115336</v>
      </c>
      <c r="G15" s="16" t="s">
        <v>41</v>
      </c>
      <c r="H15" s="16">
        <f>F15*454</f>
        <v>52362544</v>
      </c>
      <c r="I15" s="50" t="s">
        <v>37</v>
      </c>
      <c r="J15" s="15">
        <f>H15/1000000</f>
        <v>52.362544</v>
      </c>
      <c r="K15" s="49"/>
      <c r="L15" s="48"/>
      <c r="M15" s="48"/>
      <c r="N15" s="48"/>
      <c r="O15" s="48"/>
      <c r="P15" s="48"/>
      <c r="Q15" s="48"/>
      <c r="R15" s="48"/>
      <c r="S15" s="33"/>
      <c r="T15" s="49"/>
      <c r="U15" s="48"/>
      <c r="V15" s="48"/>
      <c r="W15" s="48"/>
      <c r="X15" s="48"/>
      <c r="Y15" s="48"/>
      <c r="Z15" s="48"/>
      <c r="AA15" s="48"/>
      <c r="AB15" s="33"/>
      <c r="AC15" s="39">
        <v>115336</v>
      </c>
      <c r="AD15" s="16" t="s">
        <v>41</v>
      </c>
      <c r="AE15" s="230">
        <v>52362544</v>
      </c>
      <c r="AF15" s="50" t="s">
        <v>37</v>
      </c>
      <c r="AG15" s="15">
        <f>AE15/1000000</f>
        <v>52.362544</v>
      </c>
    </row>
    <row r="16" spans="1:33" s="12" customFormat="1" ht="30" customHeight="1" x14ac:dyDescent="0.35">
      <c r="A16" s="18">
        <v>13</v>
      </c>
      <c r="B16" s="21" t="s">
        <v>46</v>
      </c>
      <c r="C16" s="24">
        <v>347696</v>
      </c>
      <c r="D16" s="64">
        <v>0</v>
      </c>
      <c r="E16" s="64">
        <v>305423</v>
      </c>
      <c r="F16" s="23">
        <f t="shared" si="0"/>
        <v>42273</v>
      </c>
      <c r="G16" s="16" t="s">
        <v>34</v>
      </c>
      <c r="H16" s="16">
        <f>F16*500</f>
        <v>21136500</v>
      </c>
      <c r="I16" s="50" t="s">
        <v>37</v>
      </c>
      <c r="J16" s="15">
        <f t="shared" ref="J16:J18" si="3">H16/1000000</f>
        <v>21.136500000000002</v>
      </c>
      <c r="K16" s="49"/>
      <c r="L16" s="48"/>
      <c r="M16" s="48"/>
      <c r="N16" s="48"/>
      <c r="O16" s="48"/>
      <c r="P16" s="48"/>
      <c r="Q16" s="48"/>
      <c r="R16" s="48"/>
      <c r="S16" s="33"/>
      <c r="T16" s="49"/>
      <c r="U16" s="48"/>
      <c r="V16" s="48"/>
      <c r="W16" s="48"/>
      <c r="X16" s="48"/>
      <c r="Y16" s="48"/>
      <c r="Z16" s="48"/>
      <c r="AA16" s="48"/>
      <c r="AB16" s="33"/>
      <c r="AC16" s="39">
        <v>42273</v>
      </c>
      <c r="AD16" s="16" t="s">
        <v>34</v>
      </c>
      <c r="AE16" s="230">
        <v>21136500</v>
      </c>
      <c r="AF16" s="50" t="s">
        <v>37</v>
      </c>
      <c r="AG16" s="15">
        <f t="shared" ref="AG16:AG18" si="4">AE16/1000000</f>
        <v>21.136500000000002</v>
      </c>
    </row>
    <row r="17" spans="1:33" s="12" customFormat="1" ht="30" customHeight="1" x14ac:dyDescent="0.35">
      <c r="A17" s="18">
        <v>14</v>
      </c>
      <c r="B17" s="21" t="s">
        <v>29</v>
      </c>
      <c r="C17" s="24">
        <v>351234</v>
      </c>
      <c r="D17" s="64">
        <v>89192</v>
      </c>
      <c r="E17" s="64">
        <v>226725</v>
      </c>
      <c r="F17" s="23">
        <f t="shared" si="0"/>
        <v>35317</v>
      </c>
      <c r="G17" s="16" t="s">
        <v>34</v>
      </c>
      <c r="H17" s="16">
        <f>F17*500</f>
        <v>17658500</v>
      </c>
      <c r="I17" s="50" t="s">
        <v>37</v>
      </c>
      <c r="J17" s="15">
        <f t="shared" si="3"/>
        <v>17.6585</v>
      </c>
      <c r="K17" s="49"/>
      <c r="L17" s="48"/>
      <c r="M17" s="48"/>
      <c r="N17" s="48"/>
      <c r="O17" s="48"/>
      <c r="P17" s="48"/>
      <c r="Q17" s="48"/>
      <c r="R17" s="48"/>
      <c r="S17" s="33"/>
      <c r="T17" s="49"/>
      <c r="U17" s="48"/>
      <c r="V17" s="48"/>
      <c r="W17" s="48"/>
      <c r="X17" s="48"/>
      <c r="Y17" s="48"/>
      <c r="Z17" s="48"/>
      <c r="AA17" s="48"/>
      <c r="AB17" s="33"/>
      <c r="AC17" s="39">
        <v>35317</v>
      </c>
      <c r="AD17" s="16" t="s">
        <v>34</v>
      </c>
      <c r="AE17" s="230">
        <v>17658500</v>
      </c>
      <c r="AF17" s="50" t="s">
        <v>37</v>
      </c>
      <c r="AG17" s="15">
        <f t="shared" si="4"/>
        <v>17.6585</v>
      </c>
    </row>
    <row r="18" spans="1:33" s="12" customFormat="1" ht="30" customHeight="1" thickBot="1" x14ac:dyDescent="0.4">
      <c r="A18" s="18">
        <v>15</v>
      </c>
      <c r="B18" s="21" t="s">
        <v>45</v>
      </c>
      <c r="C18" s="122">
        <v>398681</v>
      </c>
      <c r="D18" s="123">
        <v>0</v>
      </c>
      <c r="E18" s="123">
        <v>338214</v>
      </c>
      <c r="F18" s="24">
        <f t="shared" si="0"/>
        <v>60467</v>
      </c>
      <c r="G18" s="124" t="s">
        <v>42</v>
      </c>
      <c r="H18" s="125">
        <f>F18*400</f>
        <v>24186800</v>
      </c>
      <c r="I18" s="126" t="s">
        <v>37</v>
      </c>
      <c r="J18" s="17">
        <f t="shared" si="3"/>
        <v>24.186800000000002</v>
      </c>
      <c r="K18" s="72"/>
      <c r="L18" s="71"/>
      <c r="M18" s="71"/>
      <c r="N18" s="71"/>
      <c r="O18" s="71"/>
      <c r="P18" s="71"/>
      <c r="Q18" s="71"/>
      <c r="R18" s="71"/>
      <c r="S18" s="73"/>
      <c r="T18" s="72"/>
      <c r="U18" s="71"/>
      <c r="V18" s="71"/>
      <c r="W18" s="71"/>
      <c r="X18" s="71"/>
      <c r="Y18" s="71"/>
      <c r="Z18" s="71"/>
      <c r="AA18" s="71"/>
      <c r="AB18" s="73"/>
      <c r="AC18" s="127">
        <v>60467</v>
      </c>
      <c r="AD18" s="124" t="s">
        <v>42</v>
      </c>
      <c r="AE18" s="232">
        <v>24186800</v>
      </c>
      <c r="AF18" s="126" t="s">
        <v>37</v>
      </c>
      <c r="AG18" s="17">
        <f t="shared" si="4"/>
        <v>24.186800000000002</v>
      </c>
    </row>
    <row r="19" spans="1:33" s="3" customFormat="1" ht="29" x14ac:dyDescent="0.45">
      <c r="A19" s="128"/>
      <c r="B19" s="129"/>
      <c r="C19" s="130"/>
      <c r="D19" s="130"/>
      <c r="E19" s="130"/>
      <c r="F19" s="130"/>
      <c r="G19" s="131"/>
      <c r="H19" s="131"/>
      <c r="I19" s="131"/>
      <c r="J19" s="132"/>
      <c r="K19" s="61">
        <v>1</v>
      </c>
      <c r="L19" s="69" t="s">
        <v>12</v>
      </c>
      <c r="M19" s="211">
        <v>3077712</v>
      </c>
      <c r="N19" s="211">
        <v>446443</v>
      </c>
      <c r="O19" s="213">
        <f>M19-N19</f>
        <v>2631269</v>
      </c>
      <c r="P19" s="54" t="s">
        <v>30</v>
      </c>
      <c r="Q19" s="62">
        <f>O19</f>
        <v>2631269</v>
      </c>
      <c r="R19" s="67" t="s">
        <v>36</v>
      </c>
      <c r="S19" s="27">
        <f>Q19/1000*1.03</f>
        <v>2710.2070699999999</v>
      </c>
      <c r="T19" s="175"/>
      <c r="U19" s="176"/>
      <c r="V19" s="177"/>
      <c r="W19" s="178"/>
      <c r="X19" s="178"/>
      <c r="Y19" s="179"/>
      <c r="Z19" s="180"/>
      <c r="AA19" s="181"/>
      <c r="AB19" s="182"/>
      <c r="AC19" s="38">
        <f>O19-[1]voorraadstaat_2017_bijlage_ix__!$CQ$688</f>
        <v>2549464</v>
      </c>
      <c r="AD19" s="54" t="s">
        <v>30</v>
      </c>
      <c r="AE19" s="228">
        <f>AC19</f>
        <v>2549464</v>
      </c>
      <c r="AF19" s="67" t="s">
        <v>36</v>
      </c>
      <c r="AG19" s="68">
        <f>AE19/1000*1.03</f>
        <v>2625.9479200000001</v>
      </c>
    </row>
    <row r="20" spans="1:33" s="3" customFormat="1" ht="29.5" thickBot="1" x14ac:dyDescent="0.5">
      <c r="A20" s="58"/>
      <c r="B20" s="56"/>
      <c r="C20" s="59"/>
      <c r="D20" s="59"/>
      <c r="E20" s="59"/>
      <c r="F20" s="59"/>
      <c r="G20" s="60"/>
      <c r="H20" s="60"/>
      <c r="I20" s="60"/>
      <c r="J20" s="57"/>
      <c r="K20" s="26">
        <v>2</v>
      </c>
      <c r="L20" s="70" t="s">
        <v>79</v>
      </c>
      <c r="M20" s="214"/>
      <c r="N20" s="215"/>
      <c r="O20" s="215">
        <f t="shared" ref="O20:O31" si="5">M20-N20</f>
        <v>0</v>
      </c>
      <c r="P20" s="78"/>
      <c r="Q20" s="171"/>
      <c r="R20" s="78"/>
      <c r="S20" s="167"/>
      <c r="T20" s="135"/>
      <c r="U20" s="168"/>
      <c r="V20" s="88"/>
      <c r="W20" s="170"/>
      <c r="X20" s="171"/>
      <c r="Y20" s="166"/>
      <c r="Z20" s="171"/>
      <c r="AA20" s="166"/>
      <c r="AB20" s="167"/>
      <c r="AC20" s="169"/>
      <c r="AD20" s="78"/>
      <c r="AE20" s="233"/>
      <c r="AF20" s="78"/>
      <c r="AG20" s="167"/>
    </row>
    <row r="21" spans="1:33" s="3" customFormat="1" ht="29" x14ac:dyDescent="0.45">
      <c r="A21" s="58"/>
      <c r="B21" s="56"/>
      <c r="C21" s="59"/>
      <c r="D21" s="59"/>
      <c r="E21" s="59"/>
      <c r="F21" s="59"/>
      <c r="G21" s="60"/>
      <c r="H21" s="60"/>
      <c r="I21" s="60"/>
      <c r="J21" s="57"/>
      <c r="K21" s="26">
        <v>3</v>
      </c>
      <c r="L21" s="70" t="s">
        <v>64</v>
      </c>
      <c r="M21" s="133">
        <v>840672</v>
      </c>
      <c r="N21" s="133">
        <v>0</v>
      </c>
      <c r="O21" s="211">
        <f t="shared" si="5"/>
        <v>840672</v>
      </c>
      <c r="P21" s="14" t="s">
        <v>80</v>
      </c>
      <c r="Q21" s="14">
        <f>O21*250</f>
        <v>210168000</v>
      </c>
      <c r="R21" s="50" t="s">
        <v>37</v>
      </c>
      <c r="S21" s="15">
        <f>Q21/1000000</f>
        <v>210.16800000000001</v>
      </c>
      <c r="T21" s="183"/>
      <c r="U21" s="184"/>
      <c r="V21" s="185"/>
      <c r="W21" s="186"/>
      <c r="X21" s="186"/>
      <c r="Y21" s="187"/>
      <c r="Z21" s="187"/>
      <c r="AA21" s="188"/>
      <c r="AB21" s="189"/>
      <c r="AC21" s="199">
        <f>O21-[1]voorraadstaat_2017_bijlage_ix__!$CV$688</f>
        <v>767092</v>
      </c>
      <c r="AD21" s="14" t="s">
        <v>80</v>
      </c>
      <c r="AE21" s="14">
        <f>AC21*250</f>
        <v>191773000</v>
      </c>
      <c r="AF21" s="50" t="s">
        <v>37</v>
      </c>
      <c r="AG21" s="225">
        <f>AE21/1000000</f>
        <v>191.773</v>
      </c>
    </row>
    <row r="22" spans="1:33" s="3" customFormat="1" ht="29" x14ac:dyDescent="0.45">
      <c r="A22" s="58"/>
      <c r="B22" s="56"/>
      <c r="C22" s="59"/>
      <c r="D22" s="59"/>
      <c r="E22" s="59"/>
      <c r="F22" s="59"/>
      <c r="G22" s="60"/>
      <c r="H22" s="60"/>
      <c r="I22" s="60"/>
      <c r="J22" s="57"/>
      <c r="K22" s="26">
        <v>4</v>
      </c>
      <c r="L22" s="70" t="s">
        <v>70</v>
      </c>
      <c r="M22" s="133">
        <v>827586</v>
      </c>
      <c r="N22" s="133">
        <v>32152</v>
      </c>
      <c r="O22" s="133">
        <f t="shared" si="5"/>
        <v>795434</v>
      </c>
      <c r="P22" s="14" t="s">
        <v>30</v>
      </c>
      <c r="Q22" s="14">
        <f>O22</f>
        <v>795434</v>
      </c>
      <c r="R22" s="50" t="s">
        <v>36</v>
      </c>
      <c r="S22" s="91">
        <f>Q22/1000</f>
        <v>795.43399999999997</v>
      </c>
      <c r="T22" s="183"/>
      <c r="U22" s="184"/>
      <c r="V22" s="185"/>
      <c r="W22" s="186"/>
      <c r="X22" s="186"/>
      <c r="Y22" s="187"/>
      <c r="Z22" s="187"/>
      <c r="AA22" s="188"/>
      <c r="AB22" s="20"/>
      <c r="AC22" s="199">
        <f>O22-[1]voorraadstaat_2017_bijlage_ix__!$DA$688</f>
        <v>657469</v>
      </c>
      <c r="AD22" s="14" t="s">
        <v>30</v>
      </c>
      <c r="AE22" s="231">
        <f>AC22</f>
        <v>657469</v>
      </c>
      <c r="AF22" s="50" t="s">
        <v>36</v>
      </c>
      <c r="AG22" s="17">
        <f>AE22/1000</f>
        <v>657.46900000000005</v>
      </c>
    </row>
    <row r="23" spans="1:33" s="3" customFormat="1" ht="29" x14ac:dyDescent="0.45">
      <c r="A23" s="58"/>
      <c r="B23" s="56"/>
      <c r="C23" s="59"/>
      <c r="D23" s="59"/>
      <c r="E23" s="59"/>
      <c r="F23" s="59"/>
      <c r="G23" s="60"/>
      <c r="H23" s="60"/>
      <c r="I23" s="60"/>
      <c r="J23" s="57"/>
      <c r="K23" s="26">
        <v>5</v>
      </c>
      <c r="L23" s="70" t="s">
        <v>71</v>
      </c>
      <c r="M23" s="133">
        <v>991760</v>
      </c>
      <c r="N23" s="133">
        <v>169908</v>
      </c>
      <c r="O23" s="133">
        <f t="shared" si="5"/>
        <v>821852</v>
      </c>
      <c r="P23" s="16" t="s">
        <v>33</v>
      </c>
      <c r="Q23" s="14">
        <f>O23*1000</f>
        <v>821852000</v>
      </c>
      <c r="R23" s="50" t="s">
        <v>37</v>
      </c>
      <c r="S23" s="91">
        <f>Q23/1000000</f>
        <v>821.85199999999998</v>
      </c>
      <c r="T23" s="183"/>
      <c r="U23" s="184"/>
      <c r="V23" s="185"/>
      <c r="W23" s="186"/>
      <c r="X23" s="186"/>
      <c r="Y23" s="190"/>
      <c r="Z23" s="187"/>
      <c r="AA23" s="188"/>
      <c r="AB23" s="20"/>
      <c r="AC23" s="199">
        <f>O23-[1]voorraadstaat_2017_bijlage_ix__!$DF$688</f>
        <v>654836</v>
      </c>
      <c r="AD23" s="16" t="s">
        <v>33</v>
      </c>
      <c r="AE23" s="231">
        <f>AC23*1000</f>
        <v>654836000</v>
      </c>
      <c r="AF23" s="50" t="s">
        <v>37</v>
      </c>
      <c r="AG23" s="17">
        <f>AE23/1000000</f>
        <v>654.83600000000001</v>
      </c>
    </row>
    <row r="24" spans="1:33" s="3" customFormat="1" ht="29" x14ac:dyDescent="0.45">
      <c r="A24" s="58"/>
      <c r="B24" s="56"/>
      <c r="C24" s="59"/>
      <c r="D24" s="59"/>
      <c r="E24" s="59"/>
      <c r="F24" s="59"/>
      <c r="G24" s="60"/>
      <c r="H24" s="60"/>
      <c r="I24" s="60"/>
      <c r="J24" s="57"/>
      <c r="K24" s="26">
        <v>6</v>
      </c>
      <c r="L24" s="70" t="s">
        <v>78</v>
      </c>
      <c r="M24" s="133">
        <v>567375</v>
      </c>
      <c r="N24" s="133">
        <v>0</v>
      </c>
      <c r="O24" s="133">
        <f t="shared" si="5"/>
        <v>567375</v>
      </c>
      <c r="P24" s="16" t="s">
        <v>33</v>
      </c>
      <c r="Q24" s="14">
        <f>O24*1000</f>
        <v>567375000</v>
      </c>
      <c r="R24" s="50" t="s">
        <v>37</v>
      </c>
      <c r="S24" s="15">
        <f>Q24/1000000</f>
        <v>567.375</v>
      </c>
      <c r="T24" s="183"/>
      <c r="U24" s="184"/>
      <c r="V24" s="185"/>
      <c r="W24" s="186"/>
      <c r="X24" s="186"/>
      <c r="Y24" s="190"/>
      <c r="Z24" s="187"/>
      <c r="AA24" s="188"/>
      <c r="AB24" s="189"/>
      <c r="AC24" s="200">
        <f>O24-[1]voorraadstaat_2017_bijlage_ix__!$DK$688</f>
        <v>488311</v>
      </c>
      <c r="AD24" s="16" t="s">
        <v>33</v>
      </c>
      <c r="AE24" s="14">
        <f>AC24*1000</f>
        <v>488311000</v>
      </c>
      <c r="AF24" s="50" t="s">
        <v>37</v>
      </c>
      <c r="AG24" s="17">
        <f t="shared" ref="AG24:AG31" si="6">AE24/1000000</f>
        <v>488.31099999999998</v>
      </c>
    </row>
    <row r="25" spans="1:33" s="3" customFormat="1" ht="29" x14ac:dyDescent="0.45">
      <c r="A25" s="58"/>
      <c r="B25" s="56"/>
      <c r="C25" s="59"/>
      <c r="D25" s="59"/>
      <c r="E25" s="59"/>
      <c r="F25" s="59"/>
      <c r="G25" s="60"/>
      <c r="H25" s="60"/>
      <c r="I25" s="60"/>
      <c r="J25" s="57"/>
      <c r="K25" s="26">
        <v>7</v>
      </c>
      <c r="L25" s="70" t="s">
        <v>65</v>
      </c>
      <c r="M25" s="133">
        <v>555556</v>
      </c>
      <c r="N25" s="133">
        <v>210053</v>
      </c>
      <c r="O25" s="133">
        <f t="shared" si="5"/>
        <v>345503</v>
      </c>
      <c r="P25" s="16" t="s">
        <v>33</v>
      </c>
      <c r="Q25" s="14">
        <f>O25*1000</f>
        <v>345503000</v>
      </c>
      <c r="R25" s="50" t="s">
        <v>37</v>
      </c>
      <c r="S25" s="15">
        <f t="shared" ref="S25:S34" si="7">Q25/1000000</f>
        <v>345.50299999999999</v>
      </c>
      <c r="T25" s="183"/>
      <c r="U25" s="184"/>
      <c r="V25" s="185"/>
      <c r="W25" s="186"/>
      <c r="X25" s="186"/>
      <c r="Y25" s="190"/>
      <c r="Z25" s="187"/>
      <c r="AA25" s="188"/>
      <c r="AB25" s="20"/>
      <c r="AC25" s="199">
        <f>O25-[1]voorraadstaat_2017_bijlage_ix__!$DP$688</f>
        <v>178342</v>
      </c>
      <c r="AD25" s="16" t="s">
        <v>33</v>
      </c>
      <c r="AE25" s="231">
        <f>AC25*1000</f>
        <v>178342000</v>
      </c>
      <c r="AF25" s="50" t="s">
        <v>37</v>
      </c>
      <c r="AG25" s="17">
        <f t="shared" si="6"/>
        <v>178.34200000000001</v>
      </c>
    </row>
    <row r="26" spans="1:33" s="3" customFormat="1" ht="29" x14ac:dyDescent="0.45">
      <c r="A26" s="58"/>
      <c r="B26" s="56"/>
      <c r="C26" s="59"/>
      <c r="D26" s="59"/>
      <c r="E26" s="59"/>
      <c r="F26" s="59"/>
      <c r="G26" s="60"/>
      <c r="H26" s="60"/>
      <c r="I26" s="60"/>
      <c r="J26" s="57"/>
      <c r="K26" s="26">
        <v>8</v>
      </c>
      <c r="L26" s="70" t="s">
        <v>66</v>
      </c>
      <c r="M26" s="133">
        <v>555556</v>
      </c>
      <c r="N26" s="133">
        <v>5647</v>
      </c>
      <c r="O26" s="133">
        <f t="shared" si="5"/>
        <v>549909</v>
      </c>
      <c r="P26" s="16" t="s">
        <v>33</v>
      </c>
      <c r="Q26" s="14">
        <f>O26*1000</f>
        <v>549909000</v>
      </c>
      <c r="R26" s="50" t="s">
        <v>37</v>
      </c>
      <c r="S26" s="15">
        <f t="shared" si="7"/>
        <v>549.90899999999999</v>
      </c>
      <c r="T26" s="183"/>
      <c r="U26" s="184"/>
      <c r="V26" s="185"/>
      <c r="W26" s="186"/>
      <c r="X26" s="186"/>
      <c r="Y26" s="190"/>
      <c r="Z26" s="187"/>
      <c r="AA26" s="188"/>
      <c r="AB26" s="20"/>
      <c r="AC26" s="199">
        <f>O26-[1]voorraadstaat_2017_bijlage_ix__!$DU$688</f>
        <v>441876</v>
      </c>
      <c r="AD26" s="16" t="s">
        <v>33</v>
      </c>
      <c r="AE26" s="231">
        <f>AC26*1000</f>
        <v>441876000</v>
      </c>
      <c r="AF26" s="50" t="s">
        <v>37</v>
      </c>
      <c r="AG26" s="17">
        <f t="shared" si="6"/>
        <v>441.87599999999998</v>
      </c>
    </row>
    <row r="27" spans="1:33" s="3" customFormat="1" ht="29" x14ac:dyDescent="0.45">
      <c r="A27" s="58"/>
      <c r="B27" s="56"/>
      <c r="C27" s="59"/>
      <c r="D27" s="59"/>
      <c r="E27" s="59"/>
      <c r="F27" s="59"/>
      <c r="G27" s="60"/>
      <c r="H27" s="60"/>
      <c r="I27" s="60"/>
      <c r="J27" s="57"/>
      <c r="K27" s="26">
        <v>9</v>
      </c>
      <c r="L27" s="70" t="s">
        <v>67</v>
      </c>
      <c r="M27" s="133">
        <v>534106</v>
      </c>
      <c r="N27" s="133">
        <v>186407</v>
      </c>
      <c r="O27" s="133">
        <f t="shared" si="5"/>
        <v>347699</v>
      </c>
      <c r="P27" s="16" t="s">
        <v>33</v>
      </c>
      <c r="Q27" s="14">
        <f>O27*1000</f>
        <v>347699000</v>
      </c>
      <c r="R27" s="50" t="s">
        <v>37</v>
      </c>
      <c r="S27" s="15">
        <f t="shared" si="7"/>
        <v>347.69900000000001</v>
      </c>
      <c r="T27" s="183"/>
      <c r="U27" s="184"/>
      <c r="V27" s="185"/>
      <c r="W27" s="186"/>
      <c r="X27" s="186"/>
      <c r="Y27" s="190"/>
      <c r="Z27" s="187"/>
      <c r="AA27" s="188"/>
      <c r="AB27" s="20"/>
      <c r="AC27" s="199">
        <f>O27-[1]voorraadstaat_2017_bijlage_ix__!$DZ$688</f>
        <v>289174</v>
      </c>
      <c r="AD27" s="16" t="s">
        <v>33</v>
      </c>
      <c r="AE27" s="231">
        <f>AC27*1000</f>
        <v>289174000</v>
      </c>
      <c r="AF27" s="50" t="s">
        <v>37</v>
      </c>
      <c r="AG27" s="17">
        <f t="shared" si="6"/>
        <v>289.17399999999998</v>
      </c>
    </row>
    <row r="28" spans="1:33" s="3" customFormat="1" ht="29" x14ac:dyDescent="0.45">
      <c r="A28" s="58"/>
      <c r="B28" s="56"/>
      <c r="C28" s="59"/>
      <c r="D28" s="59"/>
      <c r="E28" s="59"/>
      <c r="F28" s="59"/>
      <c r="G28" s="60"/>
      <c r="H28" s="60"/>
      <c r="I28" s="60"/>
      <c r="J28" s="57"/>
      <c r="K28" s="26">
        <v>10</v>
      </c>
      <c r="L28" s="31" t="s">
        <v>13</v>
      </c>
      <c r="M28" s="133">
        <v>1459854</v>
      </c>
      <c r="N28" s="133">
        <v>122113</v>
      </c>
      <c r="O28" s="133">
        <f t="shared" si="5"/>
        <v>1337741</v>
      </c>
      <c r="P28" s="16" t="s">
        <v>35</v>
      </c>
      <c r="Q28" s="14">
        <f>O28*400</f>
        <v>535096400</v>
      </c>
      <c r="R28" s="50" t="s">
        <v>37</v>
      </c>
      <c r="S28" s="15">
        <f t="shared" si="7"/>
        <v>535.09640000000002</v>
      </c>
      <c r="T28" s="183"/>
      <c r="U28" s="191"/>
      <c r="V28" s="185"/>
      <c r="W28" s="186"/>
      <c r="X28" s="186"/>
      <c r="Y28" s="190"/>
      <c r="Z28" s="187"/>
      <c r="AA28" s="188"/>
      <c r="AB28" s="20"/>
      <c r="AC28" s="199">
        <f>O28-[1]voorraadstaat_2017_bijlage_ix__!$EE$688</f>
        <v>1184625</v>
      </c>
      <c r="AD28" s="16" t="s">
        <v>35</v>
      </c>
      <c r="AE28" s="231">
        <f>AC28*400</f>
        <v>473850000</v>
      </c>
      <c r="AF28" s="50" t="s">
        <v>37</v>
      </c>
      <c r="AG28" s="17">
        <f t="shared" si="6"/>
        <v>473.85</v>
      </c>
    </row>
    <row r="29" spans="1:33" s="3" customFormat="1" ht="29" x14ac:dyDescent="0.45">
      <c r="A29" s="58"/>
      <c r="B29" s="56"/>
      <c r="C29" s="59"/>
      <c r="D29" s="59"/>
      <c r="E29" s="59"/>
      <c r="F29" s="59"/>
      <c r="G29" s="60"/>
      <c r="H29" s="60"/>
      <c r="I29" s="60"/>
      <c r="J29" s="57"/>
      <c r="K29" s="26">
        <v>11</v>
      </c>
      <c r="L29" s="25" t="s">
        <v>25</v>
      </c>
      <c r="M29" s="133">
        <v>1203534</v>
      </c>
      <c r="N29" s="133">
        <v>19393</v>
      </c>
      <c r="O29" s="133">
        <f t="shared" si="5"/>
        <v>1184141</v>
      </c>
      <c r="P29" s="16" t="s">
        <v>35</v>
      </c>
      <c r="Q29" s="14">
        <f>O29*400</f>
        <v>473656400</v>
      </c>
      <c r="R29" s="50" t="s">
        <v>37</v>
      </c>
      <c r="S29" s="15">
        <f t="shared" si="7"/>
        <v>473.65640000000002</v>
      </c>
      <c r="T29" s="183"/>
      <c r="U29" s="192"/>
      <c r="V29" s="185"/>
      <c r="W29" s="186"/>
      <c r="X29" s="186"/>
      <c r="Y29" s="190"/>
      <c r="Z29" s="187"/>
      <c r="AA29" s="188"/>
      <c r="AB29" s="20"/>
      <c r="AC29" s="199">
        <f>O29-[1]voorraadstaat_2017_bijlage_ix__!$EJ$688</f>
        <v>890759</v>
      </c>
      <c r="AD29" s="16" t="s">
        <v>35</v>
      </c>
      <c r="AE29" s="231">
        <f>AC29*400</f>
        <v>356303600</v>
      </c>
      <c r="AF29" s="50" t="s">
        <v>37</v>
      </c>
      <c r="AG29" s="17">
        <f t="shared" si="6"/>
        <v>356.30360000000002</v>
      </c>
    </row>
    <row r="30" spans="1:33" s="3" customFormat="1" ht="29" x14ac:dyDescent="0.45">
      <c r="A30" s="58"/>
      <c r="B30" s="56"/>
      <c r="C30" s="59"/>
      <c r="D30" s="59"/>
      <c r="E30" s="59"/>
      <c r="F30" s="59"/>
      <c r="G30" s="60"/>
      <c r="H30" s="60"/>
      <c r="I30" s="60"/>
      <c r="J30" s="57"/>
      <c r="K30" s="26">
        <v>12</v>
      </c>
      <c r="L30" s="70" t="s">
        <v>72</v>
      </c>
      <c r="M30" s="133">
        <v>718097</v>
      </c>
      <c r="N30" s="133">
        <v>43505</v>
      </c>
      <c r="O30" s="133">
        <f t="shared" si="5"/>
        <v>674592</v>
      </c>
      <c r="P30" s="16" t="s">
        <v>35</v>
      </c>
      <c r="Q30" s="14">
        <f>O30*400</f>
        <v>269836800</v>
      </c>
      <c r="R30" s="50" t="s">
        <v>37</v>
      </c>
      <c r="S30" s="15">
        <f t="shared" si="7"/>
        <v>269.83679999999998</v>
      </c>
      <c r="T30" s="183"/>
      <c r="U30" s="184"/>
      <c r="V30" s="185"/>
      <c r="W30" s="186"/>
      <c r="X30" s="186"/>
      <c r="Y30" s="190"/>
      <c r="Z30" s="187"/>
      <c r="AA30" s="188"/>
      <c r="AB30" s="20"/>
      <c r="AC30" s="199">
        <f>O30-[1]voorraadstaat_2017_bijlage_ix__!$EO$688</f>
        <v>556153</v>
      </c>
      <c r="AD30" s="16" t="s">
        <v>35</v>
      </c>
      <c r="AE30" s="231">
        <f>AC30*400</f>
        <v>222461200</v>
      </c>
      <c r="AF30" s="50" t="s">
        <v>37</v>
      </c>
      <c r="AG30" s="17">
        <f t="shared" si="6"/>
        <v>222.46119999999999</v>
      </c>
    </row>
    <row r="31" spans="1:33" s="3" customFormat="1" ht="29" x14ac:dyDescent="0.45">
      <c r="A31" s="58"/>
      <c r="B31" s="56"/>
      <c r="C31" s="59"/>
      <c r="D31" s="59"/>
      <c r="E31" s="59"/>
      <c r="F31" s="59"/>
      <c r="G31" s="60"/>
      <c r="H31" s="60"/>
      <c r="I31" s="60"/>
      <c r="J31" s="57"/>
      <c r="K31" s="26">
        <v>13</v>
      </c>
      <c r="L31" s="70" t="s">
        <v>68</v>
      </c>
      <c r="M31" s="133">
        <v>831935</v>
      </c>
      <c r="N31" s="133">
        <v>0</v>
      </c>
      <c r="O31" s="216">
        <f t="shared" si="5"/>
        <v>831935</v>
      </c>
      <c r="P31" s="16" t="s">
        <v>32</v>
      </c>
      <c r="Q31" s="14">
        <f>O31*420</f>
        <v>349412700</v>
      </c>
      <c r="R31" s="50" t="s">
        <v>37</v>
      </c>
      <c r="S31" s="15">
        <f t="shared" si="7"/>
        <v>349.41269999999997</v>
      </c>
      <c r="T31" s="183"/>
      <c r="U31" s="184"/>
      <c r="V31" s="185"/>
      <c r="W31" s="186"/>
      <c r="X31" s="186"/>
      <c r="Y31" s="190"/>
      <c r="Z31" s="187"/>
      <c r="AA31" s="188"/>
      <c r="AB31" s="189"/>
      <c r="AC31" s="201">
        <f>O31-[1]voorraadstaat_2017_bijlage_ix__!$ET$688</f>
        <v>680012</v>
      </c>
      <c r="AD31" s="16" t="s">
        <v>32</v>
      </c>
      <c r="AE31" s="14">
        <f>AC31*420</f>
        <v>285605040</v>
      </c>
      <c r="AF31" s="50" t="s">
        <v>37</v>
      </c>
      <c r="AG31" s="17">
        <f t="shared" si="6"/>
        <v>285.60503999999997</v>
      </c>
    </row>
    <row r="32" spans="1:33" s="3" customFormat="1" ht="29" x14ac:dyDescent="0.45">
      <c r="A32" s="58"/>
      <c r="B32" s="56"/>
      <c r="C32" s="59"/>
      <c r="D32" s="59"/>
      <c r="E32" s="59"/>
      <c r="F32" s="59"/>
      <c r="G32" s="60"/>
      <c r="H32" s="60"/>
      <c r="I32" s="60"/>
      <c r="J32" s="57"/>
      <c r="K32" s="26">
        <v>14</v>
      </c>
      <c r="L32" s="70" t="s">
        <v>73</v>
      </c>
      <c r="M32" s="217"/>
      <c r="N32" s="218"/>
      <c r="O32" s="218"/>
      <c r="P32" s="78"/>
      <c r="Q32" s="166"/>
      <c r="R32" s="166"/>
      <c r="S32" s="202">
        <f t="shared" si="7"/>
        <v>0</v>
      </c>
      <c r="T32" s="135"/>
      <c r="U32" s="168"/>
      <c r="V32" s="88"/>
      <c r="W32" s="165"/>
      <c r="X32" s="166"/>
      <c r="Y32" s="166"/>
      <c r="Z32" s="166"/>
      <c r="AA32" s="166"/>
      <c r="AB32" s="167"/>
      <c r="AC32" s="169"/>
      <c r="AD32" s="78"/>
      <c r="AE32" s="233"/>
      <c r="AF32" s="166"/>
      <c r="AG32" s="167"/>
    </row>
    <row r="33" spans="1:33" s="3" customFormat="1" ht="29" x14ac:dyDescent="0.45">
      <c r="A33" s="58"/>
      <c r="B33" s="56"/>
      <c r="C33" s="59"/>
      <c r="D33" s="59"/>
      <c r="E33" s="59"/>
      <c r="F33" s="59"/>
      <c r="G33" s="60"/>
      <c r="H33" s="60"/>
      <c r="I33" s="60"/>
      <c r="J33" s="57"/>
      <c r="K33" s="26">
        <v>15</v>
      </c>
      <c r="L33" s="70" t="s">
        <v>26</v>
      </c>
      <c r="M33" s="133">
        <v>1616628</v>
      </c>
      <c r="N33" s="133">
        <v>664272</v>
      </c>
      <c r="O33" s="219">
        <f>M33-N33</f>
        <v>952356</v>
      </c>
      <c r="P33" s="16" t="s">
        <v>39</v>
      </c>
      <c r="Q33" s="14">
        <f>O33*140</f>
        <v>133329840</v>
      </c>
      <c r="R33" s="50" t="s">
        <v>37</v>
      </c>
      <c r="S33" s="15">
        <f t="shared" si="7"/>
        <v>133.32983999999999</v>
      </c>
      <c r="T33" s="183"/>
      <c r="U33" s="184"/>
      <c r="V33" s="185"/>
      <c r="W33" s="186"/>
      <c r="X33" s="186"/>
      <c r="Y33" s="190"/>
      <c r="Z33" s="187"/>
      <c r="AA33" s="188"/>
      <c r="AB33" s="20"/>
      <c r="AC33" s="199">
        <f>O33-[1]voorraadstaat_2017_bijlage_ix__!$EY$688</f>
        <v>931755</v>
      </c>
      <c r="AD33" s="16" t="s">
        <v>39</v>
      </c>
      <c r="AE33" s="231">
        <f>AC33*140</f>
        <v>130445700</v>
      </c>
      <c r="AF33" s="50" t="s">
        <v>37</v>
      </c>
      <c r="AG33" s="17">
        <f>AE33/1000000</f>
        <v>130.44569999999999</v>
      </c>
    </row>
    <row r="34" spans="1:33" s="3" customFormat="1" ht="29" x14ac:dyDescent="0.45">
      <c r="A34" s="58"/>
      <c r="B34" s="56"/>
      <c r="C34" s="59"/>
      <c r="D34" s="59"/>
      <c r="E34" s="59"/>
      <c r="F34" s="59"/>
      <c r="G34" s="60"/>
      <c r="H34" s="60"/>
      <c r="I34" s="60"/>
      <c r="J34" s="57"/>
      <c r="K34" s="26">
        <v>16</v>
      </c>
      <c r="L34" s="25" t="s">
        <v>28</v>
      </c>
      <c r="M34" s="133">
        <v>652790</v>
      </c>
      <c r="N34" s="133">
        <v>0</v>
      </c>
      <c r="O34" s="219">
        <f t="shared" ref="O34:O39" si="8">M34-N34</f>
        <v>652790</v>
      </c>
      <c r="P34" s="16" t="s">
        <v>81</v>
      </c>
      <c r="Q34" s="14">
        <f>O34*475</f>
        <v>310075250</v>
      </c>
      <c r="R34" s="50" t="s">
        <v>37</v>
      </c>
      <c r="S34" s="15">
        <f t="shared" si="7"/>
        <v>310.07524999999998</v>
      </c>
      <c r="T34" s="183"/>
      <c r="U34" s="192"/>
      <c r="V34" s="185"/>
      <c r="W34" s="186"/>
      <c r="X34" s="186"/>
      <c r="Y34" s="190"/>
      <c r="Z34" s="187"/>
      <c r="AA34" s="188"/>
      <c r="AB34" s="189"/>
      <c r="AC34" s="201">
        <f>O34-[1]voorraadstaat_2017_bijlage_ix__!$FD$688</f>
        <v>543936</v>
      </c>
      <c r="AD34" s="16" t="s">
        <v>81</v>
      </c>
      <c r="AE34" s="14">
        <f>AC34*475</f>
        <v>258369600</v>
      </c>
      <c r="AF34" s="50" t="s">
        <v>37</v>
      </c>
      <c r="AG34" s="17">
        <f t="shared" ref="AG34:AG39" si="9">AE34/1000000</f>
        <v>258.36959999999999</v>
      </c>
    </row>
    <row r="35" spans="1:33" s="3" customFormat="1" ht="29" x14ac:dyDescent="0.45">
      <c r="A35" s="58"/>
      <c r="B35" s="56"/>
      <c r="C35" s="59"/>
      <c r="D35" s="59"/>
      <c r="E35" s="59"/>
      <c r="F35" s="59"/>
      <c r="G35" s="60"/>
      <c r="H35" s="60"/>
      <c r="I35" s="60"/>
      <c r="J35" s="57"/>
      <c r="K35" s="26">
        <v>17</v>
      </c>
      <c r="L35" s="70" t="s">
        <v>74</v>
      </c>
      <c r="M35" s="133">
        <v>722270</v>
      </c>
      <c r="N35" s="133">
        <v>323286</v>
      </c>
      <c r="O35" s="219">
        <f t="shared" si="8"/>
        <v>398984</v>
      </c>
      <c r="P35" s="14" t="s">
        <v>30</v>
      </c>
      <c r="Q35" s="14">
        <f>O35</f>
        <v>398984</v>
      </c>
      <c r="R35" s="50" t="s">
        <v>36</v>
      </c>
      <c r="S35" s="91">
        <f>Q35/1000*0.92</f>
        <v>367.06527999999997</v>
      </c>
      <c r="T35" s="183"/>
      <c r="U35" s="184"/>
      <c r="V35" s="185"/>
      <c r="W35" s="186"/>
      <c r="X35" s="186"/>
      <c r="Y35" s="187"/>
      <c r="Z35" s="187"/>
      <c r="AA35" s="188"/>
      <c r="AB35" s="20"/>
      <c r="AC35" s="199">
        <f>O35-[1]voorraadstaat_2017_bijlage_ix__!$FI$688</f>
        <v>283240</v>
      </c>
      <c r="AD35" s="14" t="s">
        <v>30</v>
      </c>
      <c r="AE35" s="231">
        <f>AC35</f>
        <v>283240</v>
      </c>
      <c r="AF35" s="50" t="s">
        <v>36</v>
      </c>
      <c r="AG35" s="17">
        <f>AE35/1000*0.92</f>
        <v>260.58080000000001</v>
      </c>
    </row>
    <row r="36" spans="1:33" s="3" customFormat="1" ht="29" x14ac:dyDescent="0.45">
      <c r="A36" s="58"/>
      <c r="B36" s="56"/>
      <c r="C36" s="59"/>
      <c r="D36" s="59"/>
      <c r="E36" s="59"/>
      <c r="F36" s="59"/>
      <c r="G36" s="60"/>
      <c r="H36" s="60"/>
      <c r="I36" s="60"/>
      <c r="J36" s="57"/>
      <c r="K36" s="26">
        <v>18</v>
      </c>
      <c r="L36" s="70" t="s">
        <v>75</v>
      </c>
      <c r="M36" s="133">
        <v>851993</v>
      </c>
      <c r="N36" s="133">
        <v>0</v>
      </c>
      <c r="O36" s="219">
        <f t="shared" si="8"/>
        <v>851993</v>
      </c>
      <c r="P36" s="16" t="s">
        <v>82</v>
      </c>
      <c r="Q36" s="14">
        <f>O36*200</f>
        <v>170398600</v>
      </c>
      <c r="R36" s="50" t="s">
        <v>37</v>
      </c>
      <c r="S36" s="15">
        <f>Q36/1000000</f>
        <v>170.39859999999999</v>
      </c>
      <c r="T36" s="183"/>
      <c r="U36" s="184"/>
      <c r="V36" s="185"/>
      <c r="W36" s="186"/>
      <c r="X36" s="186"/>
      <c r="Y36" s="190"/>
      <c r="Z36" s="187"/>
      <c r="AA36" s="188"/>
      <c r="AB36" s="189"/>
      <c r="AC36" s="201">
        <f>O36-[1]voorraadstaat_2017_bijlage_ix__!$FN$688</f>
        <v>720317</v>
      </c>
      <c r="AD36" s="16" t="s">
        <v>82</v>
      </c>
      <c r="AE36" s="14">
        <f>AC36*200</f>
        <v>144063400</v>
      </c>
      <c r="AF36" s="50" t="s">
        <v>37</v>
      </c>
      <c r="AG36" s="17">
        <f t="shared" si="9"/>
        <v>144.0634</v>
      </c>
    </row>
    <row r="37" spans="1:33" s="3" customFormat="1" ht="29" x14ac:dyDescent="0.45">
      <c r="A37" s="58"/>
      <c r="B37" s="56"/>
      <c r="C37" s="59"/>
      <c r="D37" s="59"/>
      <c r="E37" s="59"/>
      <c r="F37" s="59"/>
      <c r="G37" s="60"/>
      <c r="H37" s="60"/>
      <c r="I37" s="60"/>
      <c r="J37" s="57"/>
      <c r="K37" s="26">
        <v>19</v>
      </c>
      <c r="L37" s="70" t="s">
        <v>76</v>
      </c>
      <c r="M37" s="133">
        <v>1486736</v>
      </c>
      <c r="N37" s="133">
        <v>1270037</v>
      </c>
      <c r="O37" s="219">
        <f t="shared" si="8"/>
        <v>216699</v>
      </c>
      <c r="P37" s="16" t="s">
        <v>69</v>
      </c>
      <c r="Q37" s="14">
        <f>O37*100</f>
        <v>21669900</v>
      </c>
      <c r="R37" s="50" t="s">
        <v>37</v>
      </c>
      <c r="S37" s="15">
        <f t="shared" ref="S37:S39" si="10">Q37/1000000</f>
        <v>21.669899999999998</v>
      </c>
      <c r="T37" s="183"/>
      <c r="U37" s="184"/>
      <c r="V37" s="185"/>
      <c r="W37" s="186"/>
      <c r="X37" s="186"/>
      <c r="Y37" s="190"/>
      <c r="Z37" s="187"/>
      <c r="AA37" s="188"/>
      <c r="AB37" s="20"/>
      <c r="AC37" s="199">
        <f>O37-[1]voorraadstaat_2017_bijlage_ix__!$FS$688</f>
        <v>34461</v>
      </c>
      <c r="AD37" s="16" t="s">
        <v>69</v>
      </c>
      <c r="AE37" s="231">
        <f>AC37*100</f>
        <v>3446100</v>
      </c>
      <c r="AF37" s="50" t="s">
        <v>37</v>
      </c>
      <c r="AG37" s="17">
        <f t="shared" si="9"/>
        <v>3.4460999999999999</v>
      </c>
    </row>
    <row r="38" spans="1:33" s="3" customFormat="1" ht="29" x14ac:dyDescent="0.45">
      <c r="A38" s="58"/>
      <c r="B38" s="56"/>
      <c r="C38" s="59"/>
      <c r="D38" s="59"/>
      <c r="E38" s="59"/>
      <c r="F38" s="59"/>
      <c r="G38" s="60"/>
      <c r="H38" s="60"/>
      <c r="I38" s="60"/>
      <c r="J38" s="57"/>
      <c r="K38" s="26">
        <v>20</v>
      </c>
      <c r="L38" s="70" t="s">
        <v>77</v>
      </c>
      <c r="M38" s="133">
        <v>629988</v>
      </c>
      <c r="N38" s="133">
        <v>43727</v>
      </c>
      <c r="O38" s="219">
        <f t="shared" si="8"/>
        <v>586261</v>
      </c>
      <c r="P38" s="16" t="s">
        <v>35</v>
      </c>
      <c r="Q38" s="14">
        <f>O38*400</f>
        <v>234504400</v>
      </c>
      <c r="R38" s="50" t="s">
        <v>37</v>
      </c>
      <c r="S38" s="15">
        <f t="shared" si="10"/>
        <v>234.5044</v>
      </c>
      <c r="T38" s="183"/>
      <c r="U38" s="184"/>
      <c r="V38" s="185"/>
      <c r="W38" s="186"/>
      <c r="X38" s="186"/>
      <c r="Y38" s="190"/>
      <c r="Z38" s="187"/>
      <c r="AA38" s="188"/>
      <c r="AB38" s="20"/>
      <c r="AC38" s="199">
        <f>O38-[1]voorraadstaat_2017_bijlage_ix__!$FX$688</f>
        <v>450942</v>
      </c>
      <c r="AD38" s="16" t="s">
        <v>35</v>
      </c>
      <c r="AE38" s="231">
        <f>AC38*400</f>
        <v>180376800</v>
      </c>
      <c r="AF38" s="50" t="s">
        <v>37</v>
      </c>
      <c r="AG38" s="17">
        <f t="shared" si="9"/>
        <v>180.3768</v>
      </c>
    </row>
    <row r="39" spans="1:33" s="3" customFormat="1" ht="29.5" thickBot="1" x14ac:dyDescent="0.5">
      <c r="A39" s="113"/>
      <c r="B39" s="114"/>
      <c r="C39" s="115"/>
      <c r="D39" s="115"/>
      <c r="E39" s="115"/>
      <c r="F39" s="115"/>
      <c r="G39" s="116"/>
      <c r="H39" s="116"/>
      <c r="I39" s="116"/>
      <c r="J39" s="117"/>
      <c r="K39" s="18">
        <v>21</v>
      </c>
      <c r="L39" s="118" t="s">
        <v>29</v>
      </c>
      <c r="M39" s="220">
        <v>741120</v>
      </c>
      <c r="N39" s="219">
        <v>0</v>
      </c>
      <c r="O39" s="219">
        <f t="shared" si="8"/>
        <v>741120</v>
      </c>
      <c r="P39" s="41" t="s">
        <v>34</v>
      </c>
      <c r="Q39" s="16">
        <f>O39*500</f>
        <v>370560000</v>
      </c>
      <c r="R39" s="93" t="s">
        <v>37</v>
      </c>
      <c r="S39" s="15">
        <f t="shared" si="10"/>
        <v>370.56</v>
      </c>
      <c r="T39" s="193"/>
      <c r="U39" s="194"/>
      <c r="V39" s="195"/>
      <c r="W39" s="196"/>
      <c r="X39" s="196"/>
      <c r="Y39" s="190"/>
      <c r="Z39" s="190"/>
      <c r="AA39" s="197"/>
      <c r="AB39" s="198"/>
      <c r="AC39" s="205">
        <f>O39-[1]voorraadstaat_2017_bijlage_ix__!$GC$688</f>
        <v>578112</v>
      </c>
      <c r="AD39" s="41" t="s">
        <v>34</v>
      </c>
      <c r="AE39" s="16">
        <f>AC39*500</f>
        <v>289056000</v>
      </c>
      <c r="AF39" s="93" t="s">
        <v>37</v>
      </c>
      <c r="AG39" s="17">
        <f t="shared" si="9"/>
        <v>289.05599999999998</v>
      </c>
    </row>
    <row r="40" spans="1:33" s="121" customFormat="1" ht="29" x14ac:dyDescent="0.45">
      <c r="A40" s="136"/>
      <c r="B40" s="137"/>
      <c r="C40" s="138"/>
      <c r="D40" s="138"/>
      <c r="E40" s="138"/>
      <c r="F40" s="138"/>
      <c r="G40" s="139"/>
      <c r="H40" s="139"/>
      <c r="I40" s="139"/>
      <c r="J40" s="140"/>
      <c r="K40" s="141"/>
      <c r="L40" s="142"/>
      <c r="M40" s="143"/>
      <c r="N40" s="143"/>
      <c r="O40" s="144"/>
      <c r="P40" s="144"/>
      <c r="Q40" s="144"/>
      <c r="R40" s="145"/>
      <c r="S40" s="146"/>
      <c r="T40" s="89">
        <v>1</v>
      </c>
      <c r="U40" s="204" t="s">
        <v>12</v>
      </c>
      <c r="V40" s="74">
        <v>2000000</v>
      </c>
      <c r="W40" s="211">
        <v>5044501</v>
      </c>
      <c r="X40" s="62">
        <f>SUM('[2]LOT 1 - Lait - Melk'!$F$2:$F$8)</f>
        <v>1687866</v>
      </c>
      <c r="Y40" s="62" t="s">
        <v>30</v>
      </c>
      <c r="Z40" s="62">
        <f>X40</f>
        <v>1687866</v>
      </c>
      <c r="AA40" s="67" t="s">
        <v>36</v>
      </c>
      <c r="AB40" s="68">
        <f>Z40/1000*1.03</f>
        <v>1738.50198</v>
      </c>
      <c r="AC40" s="134">
        <f>X40-[1]voorraadstaat_2017_bijlage_ix__!$GS$688</f>
        <v>949426</v>
      </c>
      <c r="AD40" s="62" t="s">
        <v>30</v>
      </c>
      <c r="AE40" s="62">
        <f>AC40</f>
        <v>949426</v>
      </c>
      <c r="AF40" s="67" t="s">
        <v>36</v>
      </c>
      <c r="AG40" s="224">
        <f>AE40/1000*1.03</f>
        <v>977.90878000000009</v>
      </c>
    </row>
    <row r="41" spans="1:33" s="121" customFormat="1" ht="29" x14ac:dyDescent="0.45">
      <c r="A41" s="147"/>
      <c r="B41" s="148"/>
      <c r="C41" s="149"/>
      <c r="D41" s="149"/>
      <c r="E41" s="149"/>
      <c r="F41" s="149"/>
      <c r="G41" s="150"/>
      <c r="H41" s="150"/>
      <c r="I41" s="150"/>
      <c r="J41" s="151"/>
      <c r="K41" s="152"/>
      <c r="L41" s="153"/>
      <c r="M41" s="76"/>
      <c r="N41" s="76"/>
      <c r="O41" s="81"/>
      <c r="P41" s="81"/>
      <c r="Q41" s="81"/>
      <c r="R41" s="77"/>
      <c r="S41" s="82"/>
      <c r="T41" s="203">
        <v>2</v>
      </c>
      <c r="U41" s="206" t="s">
        <v>79</v>
      </c>
      <c r="V41" s="75">
        <v>1000000</v>
      </c>
      <c r="W41" s="221">
        <v>1670565</v>
      </c>
      <c r="X41" s="14">
        <f>SUM('[2]LOT 2 - MAQUERAUX - MAKREEL'!$F$2:$F$5)</f>
        <v>770750</v>
      </c>
      <c r="Y41" s="14" t="s">
        <v>31</v>
      </c>
      <c r="Z41" s="14">
        <f>X41*125</f>
        <v>96343750</v>
      </c>
      <c r="AA41" s="50" t="s">
        <v>37</v>
      </c>
      <c r="AB41" s="15">
        <f>Z41/1000000</f>
        <v>96.34375</v>
      </c>
      <c r="AC41" s="86">
        <f>X41-[1]voorraadstaat_2017_bijlage_ix__!$GW$688</f>
        <v>756611</v>
      </c>
      <c r="AD41" s="14" t="s">
        <v>31</v>
      </c>
      <c r="AE41" s="14">
        <f>AC41*125</f>
        <v>94576375</v>
      </c>
      <c r="AF41" s="50" t="s">
        <v>37</v>
      </c>
      <c r="AG41" s="225">
        <f>AE41/1000000</f>
        <v>94.576374999999999</v>
      </c>
    </row>
    <row r="42" spans="1:33" s="121" customFormat="1" ht="27" customHeight="1" x14ac:dyDescent="0.45">
      <c r="A42" s="147"/>
      <c r="B42" s="148"/>
      <c r="C42" s="149"/>
      <c r="D42" s="149"/>
      <c r="E42" s="149"/>
      <c r="F42" s="149"/>
      <c r="G42" s="150"/>
      <c r="H42" s="150"/>
      <c r="I42" s="150"/>
      <c r="J42" s="151"/>
      <c r="K42" s="152"/>
      <c r="L42" s="153"/>
      <c r="M42" s="76"/>
      <c r="N42" s="76"/>
      <c r="O42" s="81"/>
      <c r="P42" s="81"/>
      <c r="Q42" s="81"/>
      <c r="R42" s="77"/>
      <c r="S42" s="82"/>
      <c r="T42" s="203">
        <v>3</v>
      </c>
      <c r="U42" s="70" t="s">
        <v>115</v>
      </c>
      <c r="V42" s="75">
        <v>820188.68</v>
      </c>
      <c r="W42" s="221">
        <v>937787</v>
      </c>
      <c r="X42" s="14">
        <f>SUM('[2]LOT 3 - RIJSTSALADE'!$F$2:$F$5)</f>
        <v>465696</v>
      </c>
      <c r="Y42" s="14" t="s">
        <v>80</v>
      </c>
      <c r="Z42" s="14">
        <f>X42*250</f>
        <v>116424000</v>
      </c>
      <c r="AA42" s="50" t="s">
        <v>37</v>
      </c>
      <c r="AB42" s="15">
        <f>Z42/1000000</f>
        <v>116.42400000000001</v>
      </c>
      <c r="AC42" s="86">
        <f>X42-[1]voorraadstaat_2017_bijlage_ix__!$HA$688</f>
        <v>363449</v>
      </c>
      <c r="AD42" s="14" t="s">
        <v>80</v>
      </c>
      <c r="AE42" s="14">
        <f>AC42*250</f>
        <v>90862250</v>
      </c>
      <c r="AF42" s="50" t="s">
        <v>37</v>
      </c>
      <c r="AG42" s="225">
        <f t="shared" ref="AG42:AG53" si="11">AE42/1000000</f>
        <v>90.862250000000003</v>
      </c>
    </row>
    <row r="43" spans="1:33" s="121" customFormat="1" ht="29" x14ac:dyDescent="0.45">
      <c r="A43" s="147"/>
      <c r="B43" s="148"/>
      <c r="C43" s="149"/>
      <c r="D43" s="149"/>
      <c r="E43" s="149"/>
      <c r="F43" s="149"/>
      <c r="G43" s="150"/>
      <c r="H43" s="150"/>
      <c r="I43" s="150"/>
      <c r="J43" s="151"/>
      <c r="K43" s="152"/>
      <c r="L43" s="153"/>
      <c r="M43" s="76"/>
      <c r="N43" s="76"/>
      <c r="O43" s="81"/>
      <c r="P43" s="81"/>
      <c r="Q43" s="81"/>
      <c r="R43" s="77"/>
      <c r="S43" s="82"/>
      <c r="T43" s="203">
        <v>4</v>
      </c>
      <c r="U43" s="70" t="s">
        <v>71</v>
      </c>
      <c r="V43" s="75">
        <v>350000</v>
      </c>
      <c r="W43" s="221">
        <v>983699</v>
      </c>
      <c r="X43" s="14">
        <f>SUM('[2]LOT 4 - Farine - tarwemeel'!$F$2:$F$8)</f>
        <v>985060</v>
      </c>
      <c r="Y43" s="14" t="s">
        <v>33</v>
      </c>
      <c r="Z43" s="14">
        <f>X43*1000</f>
        <v>985060000</v>
      </c>
      <c r="AA43" s="50" t="s">
        <v>37</v>
      </c>
      <c r="AB43" s="15">
        <f>Z43/1000000</f>
        <v>985.06</v>
      </c>
      <c r="AC43" s="86">
        <f>X43-[1]voorraadstaat_2017_bijlage_ix__!$HE$688</f>
        <v>573856</v>
      </c>
      <c r="AD43" s="14" t="s">
        <v>33</v>
      </c>
      <c r="AE43" s="14">
        <f>AC43*1000</f>
        <v>573856000</v>
      </c>
      <c r="AF43" s="50" t="s">
        <v>37</v>
      </c>
      <c r="AG43" s="225">
        <f t="shared" si="11"/>
        <v>573.85599999999999</v>
      </c>
    </row>
    <row r="44" spans="1:33" s="121" customFormat="1" ht="29" x14ac:dyDescent="0.45">
      <c r="A44" s="147"/>
      <c r="B44" s="148"/>
      <c r="C44" s="149"/>
      <c r="D44" s="149"/>
      <c r="E44" s="149"/>
      <c r="F44" s="149"/>
      <c r="G44" s="150"/>
      <c r="H44" s="150"/>
      <c r="I44" s="150"/>
      <c r="J44" s="151"/>
      <c r="K44" s="152"/>
      <c r="L44" s="153"/>
      <c r="M44" s="76"/>
      <c r="N44" s="76"/>
      <c r="O44" s="81"/>
      <c r="P44" s="81"/>
      <c r="Q44" s="81"/>
      <c r="R44" s="77"/>
      <c r="S44" s="82"/>
      <c r="T44" s="203">
        <v>5</v>
      </c>
      <c r="U44" s="70" t="s">
        <v>114</v>
      </c>
      <c r="V44" s="75">
        <v>750000</v>
      </c>
      <c r="W44" s="221">
        <v>596200</v>
      </c>
      <c r="X44" s="81">
        <v>0</v>
      </c>
      <c r="Y44" s="81" t="s">
        <v>80</v>
      </c>
      <c r="Z44" s="81"/>
      <c r="AA44" s="77"/>
      <c r="AB44" s="222"/>
      <c r="AC44" s="212"/>
      <c r="AD44" s="81" t="s">
        <v>80</v>
      </c>
      <c r="AE44" s="81"/>
      <c r="AF44" s="77"/>
      <c r="AG44" s="226"/>
    </row>
    <row r="45" spans="1:33" s="121" customFormat="1" ht="29" x14ac:dyDescent="0.45">
      <c r="A45" s="147"/>
      <c r="B45" s="148"/>
      <c r="C45" s="149"/>
      <c r="D45" s="149"/>
      <c r="E45" s="149"/>
      <c r="F45" s="149"/>
      <c r="G45" s="150"/>
      <c r="H45" s="150"/>
      <c r="I45" s="150"/>
      <c r="J45" s="151"/>
      <c r="K45" s="152"/>
      <c r="L45" s="153"/>
      <c r="M45" s="76"/>
      <c r="N45" s="76"/>
      <c r="O45" s="81"/>
      <c r="P45" s="81"/>
      <c r="Q45" s="81"/>
      <c r="R45" s="77"/>
      <c r="S45" s="82"/>
      <c r="T45" s="203">
        <v>6</v>
      </c>
      <c r="U45" s="70" t="s">
        <v>113</v>
      </c>
      <c r="V45" s="75">
        <v>500000</v>
      </c>
      <c r="W45" s="221">
        <v>608916</v>
      </c>
      <c r="X45" s="81">
        <v>0</v>
      </c>
      <c r="Y45" s="81" t="s">
        <v>33</v>
      </c>
      <c r="Z45" s="81"/>
      <c r="AA45" s="77"/>
      <c r="AB45" s="222"/>
      <c r="AC45" s="212"/>
      <c r="AD45" s="81" t="s">
        <v>33</v>
      </c>
      <c r="AE45" s="81"/>
      <c r="AF45" s="77"/>
      <c r="AG45" s="226"/>
    </row>
    <row r="46" spans="1:33" s="121" customFormat="1" ht="29" x14ac:dyDescent="0.45">
      <c r="A46" s="147"/>
      <c r="B46" s="148"/>
      <c r="C46" s="149"/>
      <c r="D46" s="149"/>
      <c r="E46" s="149"/>
      <c r="F46" s="149"/>
      <c r="G46" s="150"/>
      <c r="H46" s="150"/>
      <c r="I46" s="150"/>
      <c r="J46" s="151"/>
      <c r="K46" s="152"/>
      <c r="L46" s="153"/>
      <c r="M46" s="76"/>
      <c r="N46" s="76"/>
      <c r="O46" s="81"/>
      <c r="P46" s="81"/>
      <c r="Q46" s="81"/>
      <c r="R46" s="77"/>
      <c r="S46" s="82"/>
      <c r="T46" s="203">
        <v>7</v>
      </c>
      <c r="U46" s="70" t="s">
        <v>112</v>
      </c>
      <c r="V46" s="75">
        <v>500000</v>
      </c>
      <c r="W46" s="221">
        <v>866551</v>
      </c>
      <c r="X46" s="81">
        <v>0</v>
      </c>
      <c r="Y46" s="81" t="s">
        <v>33</v>
      </c>
      <c r="Z46" s="81"/>
      <c r="AA46" s="77"/>
      <c r="AB46" s="222"/>
      <c r="AC46" s="212"/>
      <c r="AD46" s="81" t="s">
        <v>33</v>
      </c>
      <c r="AE46" s="81"/>
      <c r="AF46" s="77"/>
      <c r="AG46" s="226"/>
    </row>
    <row r="47" spans="1:33" s="121" customFormat="1" ht="29" x14ac:dyDescent="0.45">
      <c r="A47" s="147"/>
      <c r="B47" s="148"/>
      <c r="C47" s="149"/>
      <c r="D47" s="149"/>
      <c r="E47" s="149"/>
      <c r="F47" s="149"/>
      <c r="G47" s="150"/>
      <c r="H47" s="150"/>
      <c r="I47" s="150"/>
      <c r="J47" s="151"/>
      <c r="K47" s="152"/>
      <c r="L47" s="153"/>
      <c r="M47" s="76"/>
      <c r="N47" s="76"/>
      <c r="O47" s="81"/>
      <c r="P47" s="81"/>
      <c r="Q47" s="81"/>
      <c r="R47" s="77"/>
      <c r="S47" s="82"/>
      <c r="T47" s="203">
        <v>8</v>
      </c>
      <c r="U47" s="70" t="s">
        <v>67</v>
      </c>
      <c r="V47" s="75">
        <v>600000</v>
      </c>
      <c r="W47" s="221">
        <v>931560</v>
      </c>
      <c r="X47" s="14">
        <f>SUM('[2]LOT 8 - Riz'!$F$2:$F$3)</f>
        <v>931780</v>
      </c>
      <c r="Y47" s="14" t="s">
        <v>33</v>
      </c>
      <c r="Z47" s="14">
        <f>X47*1000</f>
        <v>931780000</v>
      </c>
      <c r="AA47" s="50" t="s">
        <v>37</v>
      </c>
      <c r="AB47" s="15">
        <f>Z47/1000000</f>
        <v>931.78</v>
      </c>
      <c r="AC47" s="86">
        <f>X47-[1]voorraadstaat_2017_bijlage_ix__!$HI$688</f>
        <v>629189</v>
      </c>
      <c r="AD47" s="14" t="s">
        <v>33</v>
      </c>
      <c r="AE47" s="14">
        <f>AC47*1000</f>
        <v>629189000</v>
      </c>
      <c r="AF47" s="50" t="s">
        <v>37</v>
      </c>
      <c r="AG47" s="225">
        <f t="shared" si="11"/>
        <v>629.18899999999996</v>
      </c>
    </row>
    <row r="48" spans="1:33" s="121" customFormat="1" ht="29" x14ac:dyDescent="0.45">
      <c r="A48" s="147"/>
      <c r="B48" s="148"/>
      <c r="C48" s="149"/>
      <c r="D48" s="149"/>
      <c r="E48" s="149"/>
      <c r="F48" s="149"/>
      <c r="G48" s="150"/>
      <c r="H48" s="150"/>
      <c r="I48" s="150"/>
      <c r="J48" s="151"/>
      <c r="K48" s="152"/>
      <c r="L48" s="153"/>
      <c r="M48" s="76"/>
      <c r="N48" s="76"/>
      <c r="O48" s="81"/>
      <c r="P48" s="81"/>
      <c r="Q48" s="81"/>
      <c r="R48" s="77"/>
      <c r="S48" s="82"/>
      <c r="T48" s="203">
        <v>9</v>
      </c>
      <c r="U48" s="207" t="s">
        <v>13</v>
      </c>
      <c r="V48" s="75">
        <v>400000</v>
      </c>
      <c r="W48" s="221">
        <v>1242432</v>
      </c>
      <c r="X48" s="81">
        <v>0</v>
      </c>
      <c r="Y48" s="81" t="s">
        <v>35</v>
      </c>
      <c r="Z48" s="81"/>
      <c r="AA48" s="77"/>
      <c r="AB48" s="222"/>
      <c r="AC48" s="212"/>
      <c r="AD48" s="81" t="s">
        <v>35</v>
      </c>
      <c r="AE48" s="81"/>
      <c r="AF48" s="77"/>
      <c r="AG48" s="226"/>
    </row>
    <row r="49" spans="1:33" s="121" customFormat="1" ht="29" x14ac:dyDescent="0.45">
      <c r="A49" s="147"/>
      <c r="B49" s="148"/>
      <c r="C49" s="149"/>
      <c r="D49" s="149"/>
      <c r="E49" s="149"/>
      <c r="F49" s="149"/>
      <c r="G49" s="150"/>
      <c r="H49" s="150"/>
      <c r="I49" s="150"/>
      <c r="J49" s="151"/>
      <c r="K49" s="152"/>
      <c r="L49" s="153"/>
      <c r="M49" s="76"/>
      <c r="N49" s="76"/>
      <c r="O49" s="81"/>
      <c r="P49" s="81"/>
      <c r="Q49" s="81"/>
      <c r="R49" s="77"/>
      <c r="S49" s="82"/>
      <c r="T49" s="203">
        <v>10</v>
      </c>
      <c r="U49" s="206" t="s">
        <v>25</v>
      </c>
      <c r="V49" s="75">
        <v>450000</v>
      </c>
      <c r="W49" s="221">
        <v>1050767</v>
      </c>
      <c r="X49" s="81">
        <v>0</v>
      </c>
      <c r="Y49" s="81" t="s">
        <v>35</v>
      </c>
      <c r="Z49" s="81"/>
      <c r="AA49" s="77"/>
      <c r="AB49" s="222"/>
      <c r="AC49" s="212"/>
      <c r="AD49" s="81" t="s">
        <v>35</v>
      </c>
      <c r="AE49" s="81"/>
      <c r="AF49" s="77"/>
      <c r="AG49" s="226"/>
    </row>
    <row r="50" spans="1:33" s="121" customFormat="1" ht="29" x14ac:dyDescent="0.45">
      <c r="A50" s="147"/>
      <c r="B50" s="148"/>
      <c r="C50" s="149"/>
      <c r="D50" s="149"/>
      <c r="E50" s="149"/>
      <c r="F50" s="149"/>
      <c r="G50" s="150"/>
      <c r="H50" s="150"/>
      <c r="I50" s="150"/>
      <c r="J50" s="151"/>
      <c r="K50" s="152"/>
      <c r="L50" s="153"/>
      <c r="M50" s="76"/>
      <c r="N50" s="76"/>
      <c r="O50" s="81"/>
      <c r="P50" s="81"/>
      <c r="Q50" s="81"/>
      <c r="R50" s="77"/>
      <c r="S50" s="82"/>
      <c r="T50" s="203">
        <v>11</v>
      </c>
      <c r="U50" s="70" t="s">
        <v>72</v>
      </c>
      <c r="V50" s="75">
        <v>350000</v>
      </c>
      <c r="W50" s="221">
        <v>1005501</v>
      </c>
      <c r="X50" s="14">
        <f>SUM('[2]LOT 11 - Macédoine'!$F$2:$F$4)</f>
        <v>1005264</v>
      </c>
      <c r="Y50" s="14" t="s">
        <v>35</v>
      </c>
      <c r="Z50" s="14">
        <f>X50*400</f>
        <v>402105600</v>
      </c>
      <c r="AA50" s="50" t="s">
        <v>37</v>
      </c>
      <c r="AB50" s="15">
        <f>Z50/1000000</f>
        <v>402.10559999999998</v>
      </c>
      <c r="AC50" s="86">
        <f>X50-[1]voorraadstaat_2017_bijlage_ix__!$HM$688</f>
        <v>665060</v>
      </c>
      <c r="AD50" s="14" t="s">
        <v>35</v>
      </c>
      <c r="AE50" s="14">
        <f>AC50*400</f>
        <v>266024000</v>
      </c>
      <c r="AF50" s="50" t="s">
        <v>37</v>
      </c>
      <c r="AG50" s="225">
        <f t="shared" si="11"/>
        <v>266.024</v>
      </c>
    </row>
    <row r="51" spans="1:33" s="121" customFormat="1" ht="29" x14ac:dyDescent="0.45">
      <c r="A51" s="147"/>
      <c r="B51" s="148"/>
      <c r="C51" s="149"/>
      <c r="D51" s="149"/>
      <c r="E51" s="149"/>
      <c r="F51" s="149"/>
      <c r="G51" s="150"/>
      <c r="H51" s="150"/>
      <c r="I51" s="150"/>
      <c r="J51" s="151"/>
      <c r="K51" s="152"/>
      <c r="L51" s="153"/>
      <c r="M51" s="76"/>
      <c r="N51" s="76"/>
      <c r="O51" s="81"/>
      <c r="P51" s="81"/>
      <c r="Q51" s="81"/>
      <c r="R51" s="77"/>
      <c r="S51" s="82"/>
      <c r="T51" s="203">
        <v>12</v>
      </c>
      <c r="U51" s="70" t="s">
        <v>111</v>
      </c>
      <c r="V51" s="75">
        <v>270000</v>
      </c>
      <c r="W51" s="221">
        <v>928474</v>
      </c>
      <c r="X51" s="14">
        <f>SUM('[2]LOT 12 - Haricots bl - witte bo'!$F$2:$F$8)</f>
        <v>928572</v>
      </c>
      <c r="Y51" s="14" t="s">
        <v>35</v>
      </c>
      <c r="Z51" s="14">
        <f>X51*400</f>
        <v>371428800</v>
      </c>
      <c r="AA51" s="50" t="s">
        <v>37</v>
      </c>
      <c r="AB51" s="15">
        <f>Z51/1000000</f>
        <v>371.42880000000002</v>
      </c>
      <c r="AC51" s="86">
        <f>X51-[1]voorraadstaat_2017_bijlage_ix__!$HQ$688</f>
        <v>545513</v>
      </c>
      <c r="AD51" s="14" t="s">
        <v>35</v>
      </c>
      <c r="AE51" s="14">
        <f>AC51*400</f>
        <v>218205200</v>
      </c>
      <c r="AF51" s="50" t="s">
        <v>37</v>
      </c>
      <c r="AG51" s="225">
        <f t="shared" si="11"/>
        <v>218.20519999999999</v>
      </c>
    </row>
    <row r="52" spans="1:33" s="121" customFormat="1" ht="29" x14ac:dyDescent="0.45">
      <c r="A52" s="147"/>
      <c r="B52" s="148"/>
      <c r="C52" s="149"/>
      <c r="D52" s="149"/>
      <c r="E52" s="149"/>
      <c r="F52" s="149"/>
      <c r="G52" s="150"/>
      <c r="H52" s="150"/>
      <c r="I52" s="150"/>
      <c r="J52" s="151"/>
      <c r="K52" s="152"/>
      <c r="L52" s="153"/>
      <c r="M52" s="76"/>
      <c r="N52" s="76"/>
      <c r="O52" s="81"/>
      <c r="P52" s="81"/>
      <c r="Q52" s="81"/>
      <c r="R52" s="77"/>
      <c r="S52" s="82"/>
      <c r="T52" s="203">
        <v>13</v>
      </c>
      <c r="U52" s="239" t="s">
        <v>119</v>
      </c>
      <c r="V52" s="75">
        <v>200000</v>
      </c>
      <c r="W52" s="221">
        <v>636740</v>
      </c>
      <c r="X52" s="81">
        <v>0</v>
      </c>
      <c r="Y52" s="81" t="s">
        <v>116</v>
      </c>
      <c r="Z52" s="81"/>
      <c r="AA52" s="77"/>
      <c r="AB52" s="222"/>
      <c r="AC52" s="212"/>
      <c r="AD52" s="81" t="s">
        <v>116</v>
      </c>
      <c r="AE52" s="81"/>
      <c r="AF52" s="77"/>
      <c r="AG52" s="226"/>
    </row>
    <row r="53" spans="1:33" s="121" customFormat="1" ht="29" x14ac:dyDescent="0.45">
      <c r="A53" s="147"/>
      <c r="B53" s="148"/>
      <c r="C53" s="149"/>
      <c r="D53" s="149"/>
      <c r="E53" s="149"/>
      <c r="F53" s="149"/>
      <c r="G53" s="150"/>
      <c r="H53" s="150"/>
      <c r="I53" s="150"/>
      <c r="J53" s="151"/>
      <c r="K53" s="152"/>
      <c r="L53" s="153"/>
      <c r="M53" s="76"/>
      <c r="N53" s="76"/>
      <c r="O53" s="81"/>
      <c r="P53" s="81"/>
      <c r="Q53" s="81"/>
      <c r="R53" s="77"/>
      <c r="S53" s="82"/>
      <c r="T53" s="203">
        <v>14</v>
      </c>
      <c r="U53" s="70" t="s">
        <v>26</v>
      </c>
      <c r="V53" s="75">
        <v>300000</v>
      </c>
      <c r="W53" s="221">
        <v>687600</v>
      </c>
      <c r="X53" s="14">
        <f>SUM('[2]LOT 14 - FROMAGE - SMELTKAAS'!$F$2:$F$3)</f>
        <v>380160</v>
      </c>
      <c r="Y53" s="14" t="s">
        <v>39</v>
      </c>
      <c r="Z53" s="14">
        <f>X53*140</f>
        <v>53222400</v>
      </c>
      <c r="AA53" s="50" t="s">
        <v>37</v>
      </c>
      <c r="AB53" s="15">
        <f>Z53/1000000</f>
        <v>53.2224</v>
      </c>
      <c r="AC53" s="86">
        <f>X53-[1]voorraadstaat_2017_bijlage_ix__!$HY$688</f>
        <v>370627</v>
      </c>
      <c r="AD53" s="14" t="s">
        <v>39</v>
      </c>
      <c r="AE53" s="14">
        <f>AC53*140</f>
        <v>51887780</v>
      </c>
      <c r="AF53" s="50" t="s">
        <v>37</v>
      </c>
      <c r="AG53" s="225">
        <f t="shared" si="11"/>
        <v>51.887779999999999</v>
      </c>
    </row>
    <row r="54" spans="1:33" s="121" customFormat="1" ht="29" x14ac:dyDescent="0.45">
      <c r="A54" s="147"/>
      <c r="B54" s="148"/>
      <c r="C54" s="149"/>
      <c r="D54" s="149"/>
      <c r="E54" s="149"/>
      <c r="F54" s="149"/>
      <c r="G54" s="150"/>
      <c r="H54" s="150"/>
      <c r="I54" s="150"/>
      <c r="J54" s="151"/>
      <c r="K54" s="152"/>
      <c r="L54" s="153"/>
      <c r="M54" s="76"/>
      <c r="N54" s="76"/>
      <c r="O54" s="81"/>
      <c r="P54" s="81"/>
      <c r="Q54" s="81"/>
      <c r="R54" s="77"/>
      <c r="S54" s="82"/>
      <c r="T54" s="203">
        <v>15</v>
      </c>
      <c r="U54" s="70" t="s">
        <v>107</v>
      </c>
      <c r="V54" s="75">
        <v>450000</v>
      </c>
      <c r="W54" s="221">
        <v>601443</v>
      </c>
      <c r="X54" s="81">
        <v>0</v>
      </c>
      <c r="Y54" s="81" t="s">
        <v>117</v>
      </c>
      <c r="Z54" s="81"/>
      <c r="AA54" s="119"/>
      <c r="AB54" s="222"/>
      <c r="AC54" s="212"/>
      <c r="AD54" s="81" t="s">
        <v>117</v>
      </c>
      <c r="AE54" s="81"/>
      <c r="AF54" s="119"/>
      <c r="AG54" s="226"/>
    </row>
    <row r="55" spans="1:33" s="121" customFormat="1" ht="29" x14ac:dyDescent="0.45">
      <c r="A55" s="147"/>
      <c r="B55" s="148"/>
      <c r="C55" s="149"/>
      <c r="D55" s="149"/>
      <c r="E55" s="149"/>
      <c r="F55" s="149"/>
      <c r="G55" s="150"/>
      <c r="H55" s="150"/>
      <c r="I55" s="150"/>
      <c r="J55" s="151"/>
      <c r="K55" s="152"/>
      <c r="L55" s="153"/>
      <c r="M55" s="76"/>
      <c r="N55" s="76"/>
      <c r="O55" s="81"/>
      <c r="P55" s="81"/>
      <c r="Q55" s="81"/>
      <c r="R55" s="77"/>
      <c r="S55" s="82"/>
      <c r="T55" s="203">
        <v>16</v>
      </c>
      <c r="U55" s="70" t="s">
        <v>74</v>
      </c>
      <c r="V55" s="75">
        <v>1200000</v>
      </c>
      <c r="W55" s="221">
        <v>562878</v>
      </c>
      <c r="X55" s="14">
        <f>SUM('[2]LOT 16 - HUILE OLIVES '!$F$2:$F$6)</f>
        <v>195228</v>
      </c>
      <c r="Y55" s="14" t="s">
        <v>30</v>
      </c>
      <c r="Z55" s="14">
        <f>X55</f>
        <v>195228</v>
      </c>
      <c r="AA55" s="50" t="s">
        <v>36</v>
      </c>
      <c r="AB55" s="15">
        <f>Z55/1000*0.92</f>
        <v>179.60976000000002</v>
      </c>
      <c r="AC55" s="86">
        <f>X55-[1]voorraadstaat_2017_bijlage_ix__!$IC$688</f>
        <v>163833</v>
      </c>
      <c r="AD55" s="14" t="s">
        <v>30</v>
      </c>
      <c r="AE55" s="14">
        <f>AC55</f>
        <v>163833</v>
      </c>
      <c r="AF55" s="50" t="s">
        <v>36</v>
      </c>
      <c r="AG55" s="225">
        <f>AE55/1000*0.92</f>
        <v>150.72636</v>
      </c>
    </row>
    <row r="56" spans="1:33" s="121" customFormat="1" ht="29" x14ac:dyDescent="0.45">
      <c r="A56" s="147"/>
      <c r="B56" s="148"/>
      <c r="C56" s="149"/>
      <c r="D56" s="149"/>
      <c r="E56" s="149"/>
      <c r="F56" s="149"/>
      <c r="G56" s="150"/>
      <c r="H56" s="150"/>
      <c r="I56" s="150"/>
      <c r="J56" s="151"/>
      <c r="K56" s="152"/>
      <c r="L56" s="153"/>
      <c r="M56" s="76"/>
      <c r="N56" s="76"/>
      <c r="O56" s="81"/>
      <c r="P56" s="81"/>
      <c r="Q56" s="81"/>
      <c r="R56" s="77"/>
      <c r="S56" s="82"/>
      <c r="T56" s="203">
        <v>17</v>
      </c>
      <c r="U56" s="70" t="s">
        <v>110</v>
      </c>
      <c r="V56" s="75">
        <v>380000</v>
      </c>
      <c r="W56" s="221">
        <v>867456</v>
      </c>
      <c r="X56" s="81">
        <v>0</v>
      </c>
      <c r="Y56" s="81" t="s">
        <v>118</v>
      </c>
      <c r="Z56" s="81"/>
      <c r="AA56" s="77"/>
      <c r="AB56" s="222"/>
      <c r="AC56" s="212"/>
      <c r="AD56" s="81" t="s">
        <v>118</v>
      </c>
      <c r="AE56" s="81"/>
      <c r="AF56" s="77"/>
      <c r="AG56" s="226"/>
    </row>
    <row r="57" spans="1:33" s="121" customFormat="1" ht="29" x14ac:dyDescent="0.45">
      <c r="A57" s="147"/>
      <c r="B57" s="148"/>
      <c r="C57" s="149"/>
      <c r="D57" s="149"/>
      <c r="E57" s="149"/>
      <c r="F57" s="149"/>
      <c r="G57" s="150"/>
      <c r="H57" s="150"/>
      <c r="I57" s="150"/>
      <c r="J57" s="151"/>
      <c r="K57" s="152"/>
      <c r="L57" s="153"/>
      <c r="M57" s="76"/>
      <c r="N57" s="76"/>
      <c r="O57" s="81"/>
      <c r="P57" s="81"/>
      <c r="Q57" s="81"/>
      <c r="R57" s="77"/>
      <c r="S57" s="82"/>
      <c r="T57" s="203">
        <v>18</v>
      </c>
      <c r="U57" s="70" t="s">
        <v>76</v>
      </c>
      <c r="V57" s="75">
        <v>350000</v>
      </c>
      <c r="W57" s="221">
        <v>884001</v>
      </c>
      <c r="X57" s="14">
        <f>SUM('[2]LOT 18 - CHOCOLAT'!$F$2:$F$3)</f>
        <v>377910</v>
      </c>
      <c r="Y57" s="14" t="s">
        <v>69</v>
      </c>
      <c r="Z57" s="14">
        <f>X57*100</f>
        <v>37791000</v>
      </c>
      <c r="AA57" s="50" t="s">
        <v>37</v>
      </c>
      <c r="AB57" s="15">
        <f>Z57/1000000</f>
        <v>37.790999999999997</v>
      </c>
      <c r="AC57" s="86">
        <f>X57-[1]voorraadstaat_2017_bijlage_ix__!$IG$688</f>
        <v>350293</v>
      </c>
      <c r="AD57" s="14" t="s">
        <v>69</v>
      </c>
      <c r="AE57" s="14">
        <f>AC57*100</f>
        <v>35029300</v>
      </c>
      <c r="AF57" s="50" t="s">
        <v>37</v>
      </c>
      <c r="AG57" s="225">
        <f>AE57/1000000</f>
        <v>35.029299999999999</v>
      </c>
    </row>
    <row r="58" spans="1:33" s="121" customFormat="1" ht="29" x14ac:dyDescent="0.45">
      <c r="A58" s="147"/>
      <c r="B58" s="148"/>
      <c r="C58" s="149"/>
      <c r="D58" s="149"/>
      <c r="E58" s="149"/>
      <c r="F58" s="149"/>
      <c r="G58" s="150"/>
      <c r="H58" s="150"/>
      <c r="I58" s="150"/>
      <c r="J58" s="151"/>
      <c r="K58" s="152"/>
      <c r="L58" s="153"/>
      <c r="M58" s="76"/>
      <c r="N58" s="76"/>
      <c r="O58" s="81"/>
      <c r="P58" s="81"/>
      <c r="Q58" s="81"/>
      <c r="R58" s="77"/>
      <c r="S58" s="82"/>
      <c r="T58" s="203">
        <v>19</v>
      </c>
      <c r="U58" s="118" t="s">
        <v>29</v>
      </c>
      <c r="V58" s="75">
        <v>400000</v>
      </c>
      <c r="W58" s="221">
        <v>381025</v>
      </c>
      <c r="X58" s="14">
        <f>SUM('[2]LOT 19 -BLE - TARWE'!$F$2:$F$7)</f>
        <v>184784</v>
      </c>
      <c r="Y58" s="14" t="s">
        <v>34</v>
      </c>
      <c r="Z58" s="14">
        <f>X58*500</f>
        <v>92392000</v>
      </c>
      <c r="AA58" s="50" t="s">
        <v>37</v>
      </c>
      <c r="AB58" s="15">
        <f>Z58/1000000</f>
        <v>92.391999999999996</v>
      </c>
      <c r="AC58" s="86">
        <f>X58-[1]voorraadstaat_2017_bijlage_ix__!$IK$688</f>
        <v>152834</v>
      </c>
      <c r="AD58" s="14" t="s">
        <v>34</v>
      </c>
      <c r="AE58" s="14">
        <f>AC58*500</f>
        <v>76417000</v>
      </c>
      <c r="AF58" s="50" t="s">
        <v>37</v>
      </c>
      <c r="AG58" s="225">
        <f>AE58/1000000</f>
        <v>76.417000000000002</v>
      </c>
    </row>
    <row r="59" spans="1:33" s="121" customFormat="1" ht="29" x14ac:dyDescent="0.45">
      <c r="A59" s="147"/>
      <c r="B59" s="148"/>
      <c r="C59" s="149"/>
      <c r="D59" s="149"/>
      <c r="E59" s="149"/>
      <c r="F59" s="149"/>
      <c r="G59" s="150"/>
      <c r="H59" s="150"/>
      <c r="I59" s="150"/>
      <c r="J59" s="151"/>
      <c r="K59" s="152"/>
      <c r="L59" s="153"/>
      <c r="M59" s="76"/>
      <c r="N59" s="76"/>
      <c r="O59" s="81"/>
      <c r="P59" s="81"/>
      <c r="Q59" s="81"/>
      <c r="R59" s="77"/>
      <c r="S59" s="82"/>
      <c r="T59" s="203">
        <v>20</v>
      </c>
      <c r="U59" s="206" t="s">
        <v>106</v>
      </c>
      <c r="V59" s="75">
        <v>380000</v>
      </c>
      <c r="W59" s="221">
        <v>179400</v>
      </c>
      <c r="X59" s="81">
        <v>0</v>
      </c>
      <c r="Y59" s="81" t="s">
        <v>82</v>
      </c>
      <c r="Z59" s="81"/>
      <c r="AA59" s="77"/>
      <c r="AB59" s="222"/>
      <c r="AC59" s="212"/>
      <c r="AD59" s="81" t="s">
        <v>82</v>
      </c>
      <c r="AE59" s="81"/>
      <c r="AF59" s="77"/>
      <c r="AG59" s="226"/>
    </row>
    <row r="60" spans="1:33" s="121" customFormat="1" ht="29" x14ac:dyDescent="0.45">
      <c r="A60" s="147"/>
      <c r="B60" s="148"/>
      <c r="C60" s="149"/>
      <c r="D60" s="149"/>
      <c r="E60" s="149"/>
      <c r="F60" s="149"/>
      <c r="G60" s="150"/>
      <c r="H60" s="150"/>
      <c r="I60" s="150"/>
      <c r="J60" s="151"/>
      <c r="K60" s="152"/>
      <c r="L60" s="153"/>
      <c r="M60" s="76"/>
      <c r="N60" s="76"/>
      <c r="O60" s="81"/>
      <c r="P60" s="81"/>
      <c r="Q60" s="81"/>
      <c r="R60" s="77"/>
      <c r="S60" s="82"/>
      <c r="T60" s="90">
        <v>21</v>
      </c>
      <c r="U60" s="118" t="s">
        <v>108</v>
      </c>
      <c r="V60" s="209">
        <v>450000</v>
      </c>
      <c r="W60" s="133">
        <v>393357</v>
      </c>
      <c r="X60" s="81">
        <v>0</v>
      </c>
      <c r="Y60" s="81" t="s">
        <v>35</v>
      </c>
      <c r="Z60" s="81"/>
      <c r="AA60" s="77"/>
      <c r="AB60" s="222"/>
      <c r="AC60" s="212"/>
      <c r="AD60" s="81" t="s">
        <v>35</v>
      </c>
      <c r="AE60" s="81"/>
      <c r="AF60" s="77"/>
      <c r="AG60" s="226"/>
    </row>
    <row r="61" spans="1:33" s="121" customFormat="1" ht="29.5" thickBot="1" x14ac:dyDescent="0.5">
      <c r="A61" s="154"/>
      <c r="B61" s="155"/>
      <c r="C61" s="156"/>
      <c r="D61" s="156"/>
      <c r="E61" s="156"/>
      <c r="F61" s="156"/>
      <c r="G61" s="157"/>
      <c r="H61" s="157"/>
      <c r="I61" s="157"/>
      <c r="J61" s="158"/>
      <c r="K61" s="159"/>
      <c r="L61" s="160"/>
      <c r="M61" s="84"/>
      <c r="N61" s="84"/>
      <c r="O61" s="79"/>
      <c r="P61" s="79"/>
      <c r="Q61" s="79"/>
      <c r="R61" s="80"/>
      <c r="S61" s="83"/>
      <c r="T61" s="92">
        <v>22</v>
      </c>
      <c r="U61" s="208" t="s">
        <v>109</v>
      </c>
      <c r="V61" s="210">
        <v>450000</v>
      </c>
      <c r="W61" s="220">
        <v>342144</v>
      </c>
      <c r="X61" s="79">
        <v>0</v>
      </c>
      <c r="Y61" s="79" t="s">
        <v>35</v>
      </c>
      <c r="Z61" s="79"/>
      <c r="AA61" s="80"/>
      <c r="AB61" s="223"/>
      <c r="AC61" s="85"/>
      <c r="AD61" s="79" t="s">
        <v>35</v>
      </c>
      <c r="AE61" s="79"/>
      <c r="AF61" s="80"/>
      <c r="AG61" s="227"/>
    </row>
    <row r="62" spans="1:33" s="121" customFormat="1" ht="21" x14ac:dyDescent="0.45">
      <c r="A62" s="44"/>
      <c r="B62" s="44"/>
      <c r="C62" s="46"/>
      <c r="D62" s="46"/>
      <c r="E62" s="46"/>
      <c r="F62" s="46"/>
      <c r="G62" s="47"/>
      <c r="H62" s="47"/>
      <c r="I62" s="47"/>
      <c r="J62" s="45"/>
      <c r="K62" s="109"/>
      <c r="L62" s="110"/>
      <c r="M62" s="108"/>
      <c r="N62" s="108"/>
      <c r="O62" s="111"/>
      <c r="P62" s="111"/>
      <c r="Q62" s="111"/>
      <c r="R62" s="112"/>
      <c r="S62" s="111"/>
      <c r="T62" s="109"/>
      <c r="U62" s="110"/>
      <c r="V62" s="120"/>
      <c r="W62" s="108"/>
      <c r="X62" s="108"/>
      <c r="Y62" s="111"/>
      <c r="Z62" s="111"/>
      <c r="AA62" s="112"/>
      <c r="AB62" s="111"/>
      <c r="AC62" s="111"/>
      <c r="AD62" s="111"/>
      <c r="AE62" s="108"/>
      <c r="AF62" s="112"/>
      <c r="AG62" s="238">
        <f>SUM(AG4:AG61)</f>
        <v>12758.885833999999</v>
      </c>
    </row>
    <row r="63" spans="1:33" s="7" customFormat="1" ht="15" thickBot="1" x14ac:dyDescent="0.4">
      <c r="D63" s="29"/>
      <c r="E63" s="29"/>
      <c r="F63" s="29"/>
      <c r="H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8"/>
    </row>
    <row r="64" spans="1:33" ht="31.5" thickBot="1" x14ac:dyDescent="0.4">
      <c r="A64"/>
      <c r="B64" s="97" t="s">
        <v>15</v>
      </c>
      <c r="C64" s="6" t="s">
        <v>47</v>
      </c>
      <c r="D64" s="6" t="s">
        <v>48</v>
      </c>
      <c r="E64" s="6" t="s">
        <v>63</v>
      </c>
      <c r="F64" s="6" t="s">
        <v>98</v>
      </c>
      <c r="G64" s="104" t="s">
        <v>14</v>
      </c>
      <c r="AC64"/>
    </row>
    <row r="65" spans="1:29" ht="29" x14ac:dyDescent="0.35">
      <c r="A65"/>
      <c r="B65" s="98" t="s">
        <v>127</v>
      </c>
      <c r="C65" s="100">
        <v>1</v>
      </c>
      <c r="D65" s="172" t="s">
        <v>54</v>
      </c>
      <c r="E65" s="105" t="s">
        <v>85</v>
      </c>
      <c r="F65" s="105" t="s">
        <v>120</v>
      </c>
      <c r="G65" s="234">
        <f>AG4+AG12+AG19+AG33+AG40+AG53</f>
        <v>3893.0871600000005</v>
      </c>
      <c r="P65" s="87"/>
      <c r="Q65" s="87"/>
      <c r="Z65" s="87"/>
      <c r="AC65"/>
    </row>
    <row r="66" spans="1:29" ht="29" x14ac:dyDescent="0.35">
      <c r="A66"/>
      <c r="B66" s="99" t="s">
        <v>21</v>
      </c>
      <c r="C66" s="101" t="s">
        <v>49</v>
      </c>
      <c r="D66" s="173" t="s">
        <v>53</v>
      </c>
      <c r="E66" s="106"/>
      <c r="F66" s="106">
        <v>2</v>
      </c>
      <c r="G66" s="235">
        <f>AG5+AG7+AG41</f>
        <v>256.40010000000001</v>
      </c>
      <c r="AC66"/>
    </row>
    <row r="67" spans="1:29" ht="58" x14ac:dyDescent="0.35">
      <c r="A67"/>
      <c r="B67" s="99" t="s">
        <v>19</v>
      </c>
      <c r="C67" s="101" t="s">
        <v>52</v>
      </c>
      <c r="D67" s="173" t="s">
        <v>57</v>
      </c>
      <c r="E67" s="106" t="s">
        <v>86</v>
      </c>
      <c r="F67" s="106" t="s">
        <v>121</v>
      </c>
      <c r="G67" s="235">
        <f>AG8+AG9+AG16+AG17+AG23+AG25+AG26+AG27+AG39+AG43+AG58+AG47</f>
        <v>3640.4359999999997</v>
      </c>
      <c r="AC67"/>
    </row>
    <row r="68" spans="1:29" s="28" customFormat="1" ht="29" x14ac:dyDescent="0.35">
      <c r="B68" s="99" t="s">
        <v>83</v>
      </c>
      <c r="C68" s="101"/>
      <c r="D68" s="173"/>
      <c r="E68" s="106">
        <v>6</v>
      </c>
      <c r="F68" s="106"/>
      <c r="G68" s="235">
        <f>AG24</f>
        <v>488.31099999999998</v>
      </c>
    </row>
    <row r="69" spans="1:29" ht="29" x14ac:dyDescent="0.35">
      <c r="A69"/>
      <c r="B69" s="99" t="s">
        <v>18</v>
      </c>
      <c r="C69" s="101" t="s">
        <v>50</v>
      </c>
      <c r="D69" s="173" t="s">
        <v>55</v>
      </c>
      <c r="E69" s="106" t="s">
        <v>84</v>
      </c>
      <c r="F69" s="106" t="s">
        <v>122</v>
      </c>
      <c r="G69" s="235">
        <f>AG6+AG10+AG11+AG13+AG28+AG29+AG30+AG31+AG48+AG49+AG50+AG51+AG52+AG59</f>
        <v>2422.2083799999996</v>
      </c>
      <c r="AC69"/>
    </row>
    <row r="70" spans="1:29" ht="58" x14ac:dyDescent="0.35">
      <c r="A70"/>
      <c r="B70" s="99" t="s">
        <v>16</v>
      </c>
      <c r="C70" s="101" t="s">
        <v>51</v>
      </c>
      <c r="D70" s="173" t="s">
        <v>56</v>
      </c>
      <c r="E70" s="106" t="s">
        <v>87</v>
      </c>
      <c r="F70" s="106" t="s">
        <v>123</v>
      </c>
      <c r="G70" s="235">
        <f>AG15+AG18+AG21+AG22+AG34+AG36+AG37+AG38+AG42+AG44+AG54+AG56+AG57+AG60+AG61</f>
        <v>1637.9387939999997</v>
      </c>
      <c r="AC70"/>
    </row>
    <row r="71" spans="1:29" ht="29.5" thickBot="1" x14ac:dyDescent="0.4">
      <c r="A71"/>
      <c r="B71" s="103" t="s">
        <v>17</v>
      </c>
      <c r="C71" s="102">
        <v>11</v>
      </c>
      <c r="D71" s="174">
        <v>11</v>
      </c>
      <c r="E71" s="107">
        <v>17</v>
      </c>
      <c r="F71" s="107">
        <v>16</v>
      </c>
      <c r="G71" s="237">
        <f>AG14+AG35+AG55</f>
        <v>420.50440000000003</v>
      </c>
      <c r="AC71"/>
    </row>
    <row r="72" spans="1:29" ht="15" thickBot="1" x14ac:dyDescent="0.4">
      <c r="A72"/>
      <c r="B72" s="240"/>
      <c r="C72" s="241"/>
      <c r="D72" s="241"/>
      <c r="E72" s="241"/>
      <c r="F72" s="242"/>
      <c r="G72" s="236">
        <f>SUM(G65:G71)</f>
        <v>12758.885834000001</v>
      </c>
      <c r="AC72"/>
    </row>
  </sheetData>
  <mergeCells count="5">
    <mergeCell ref="B72:F72"/>
    <mergeCell ref="AC1:AG1"/>
    <mergeCell ref="A1:J1"/>
    <mergeCell ref="K1:S1"/>
    <mergeCell ref="T1:A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0" sqref="C20"/>
    </sheetView>
  </sheetViews>
  <sheetFormatPr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2015-06-17T16:34:12Z</dcterms:created>
  <dcterms:modified xsi:type="dcterms:W3CDTF">2019-10-31T20:57:13Z</dcterms:modified>
</cp:coreProperties>
</file>