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32. FEAD\14. Monitoring et statistiques\1. Annual Implementation Report\AIR 2018\"/>
    </mc:Choice>
  </mc:AlternateContent>
  <bookViews>
    <workbookView xWindow="10995" yWindow="-120" windowWidth="9495" windowHeight="8250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G51" i="1" l="1"/>
  <c r="G56" i="1"/>
  <c r="G55" i="1"/>
  <c r="G54" i="1"/>
  <c r="G53" i="1"/>
  <c r="G52" i="1"/>
  <c r="G50" i="1"/>
  <c r="G49" i="1"/>
  <c r="V35" i="1"/>
  <c r="T46" i="1" l="1"/>
  <c r="V46" i="1" s="1"/>
  <c r="X46" i="1" s="1"/>
  <c r="V45" i="1"/>
  <c r="X45" i="1" s="1"/>
  <c r="T45" i="1"/>
  <c r="T44" i="1"/>
  <c r="V44" i="1" s="1"/>
  <c r="X44" i="1" s="1"/>
  <c r="V43" i="1"/>
  <c r="T43" i="1"/>
  <c r="T42" i="1"/>
  <c r="V42" i="1" s="1"/>
  <c r="X42" i="1" s="1"/>
  <c r="X43" i="1"/>
  <c r="X41" i="1"/>
  <c r="V41" i="1"/>
  <c r="T41" i="1"/>
  <c r="T40" i="1"/>
  <c r="V40" i="1" s="1"/>
  <c r="V39" i="1"/>
  <c r="X39" i="1" s="1"/>
  <c r="T39" i="1"/>
  <c r="T38" i="1"/>
  <c r="V38" i="1" s="1"/>
  <c r="X38" i="1" s="1"/>
  <c r="V37" i="1"/>
  <c r="T37" i="1"/>
  <c r="T36" i="1"/>
  <c r="V36" i="1" s="1"/>
  <c r="X36" i="1" s="1"/>
  <c r="T35" i="1"/>
  <c r="T34" i="1"/>
  <c r="V34" i="1" s="1"/>
  <c r="X34" i="1" s="1"/>
  <c r="V33" i="1"/>
  <c r="X33" i="1" s="1"/>
  <c r="T33" i="1"/>
  <c r="T32" i="1"/>
  <c r="V32" i="1" s="1"/>
  <c r="X32" i="1" s="1"/>
  <c r="V31" i="1"/>
  <c r="X31" i="1" s="1"/>
  <c r="T31" i="1"/>
  <c r="T30" i="1"/>
  <c r="V30" i="1" s="1"/>
  <c r="X30" i="1" s="1"/>
  <c r="X35" i="1"/>
  <c r="X37" i="1"/>
  <c r="T29" i="1"/>
  <c r="V29" i="1" s="1"/>
  <c r="X29" i="1" s="1"/>
  <c r="V28" i="1"/>
  <c r="T28" i="1"/>
  <c r="T27" i="1"/>
  <c r="V27" i="1" s="1"/>
  <c r="V26" i="1"/>
  <c r="T26" i="1"/>
  <c r="T25" i="1"/>
  <c r="V25" i="1" s="1"/>
  <c r="S44" i="1" l="1"/>
  <c r="S45" i="1"/>
  <c r="S46" i="1"/>
  <c r="S41" i="1"/>
  <c r="S39" i="1"/>
  <c r="S37" i="1"/>
  <c r="S33" i="1"/>
  <c r="S34" i="1"/>
  <c r="S29" i="1"/>
  <c r="S30" i="1"/>
  <c r="S31" i="1"/>
  <c r="Q46" i="1"/>
  <c r="Q45" i="1"/>
  <c r="Q44" i="1"/>
  <c r="Q41" i="1"/>
  <c r="Q39" i="1"/>
  <c r="Q37" i="1"/>
  <c r="Q34" i="1"/>
  <c r="Q33" i="1"/>
  <c r="Q29" i="1"/>
  <c r="Q30" i="1"/>
  <c r="Q31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25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4" i="1"/>
  <c r="X28" i="1" l="1"/>
  <c r="X27" i="1"/>
  <c r="X26" i="1"/>
  <c r="X25" i="1"/>
  <c r="Q35" i="1" l="1"/>
  <c r="S35" i="1" s="1"/>
  <c r="Q42" i="1"/>
  <c r="S42" i="1" s="1"/>
  <c r="Q43" i="1"/>
  <c r="S43" i="1" s="1"/>
  <c r="Q38" i="1"/>
  <c r="S38" i="1" s="1"/>
  <c r="Q28" i="1"/>
  <c r="S28" i="1" s="1"/>
  <c r="Q40" i="1"/>
  <c r="S40" i="1" s="1"/>
  <c r="X40" i="1"/>
  <c r="X47" i="1" s="1"/>
  <c r="Q36" i="1"/>
  <c r="S36" i="1" s="1"/>
  <c r="Q25" i="1"/>
  <c r="S25" i="1" s="1"/>
  <c r="Q26" i="1"/>
  <c r="S26" i="1" s="1"/>
  <c r="Q32" i="1"/>
  <c r="S32" i="1" s="1"/>
  <c r="Q27" i="1"/>
  <c r="S27" i="1" s="1"/>
  <c r="J17" i="1"/>
  <c r="V19" i="1"/>
  <c r="X19" i="1" s="1"/>
  <c r="V20" i="1"/>
  <c r="X20" i="1" s="1"/>
  <c r="V21" i="1"/>
  <c r="X21" i="1" s="1"/>
  <c r="V22" i="1"/>
  <c r="X22" i="1" s="1"/>
  <c r="V23" i="1"/>
  <c r="X23" i="1" s="1"/>
  <c r="V24" i="1"/>
  <c r="X24" i="1" s="1"/>
  <c r="V18" i="1"/>
  <c r="X18" i="1" s="1"/>
  <c r="V7" i="1"/>
  <c r="X7" i="1" s="1"/>
  <c r="V8" i="1"/>
  <c r="X8" i="1" s="1"/>
  <c r="V9" i="1"/>
  <c r="X9" i="1" s="1"/>
  <c r="V10" i="1"/>
  <c r="X10" i="1" s="1"/>
  <c r="V11" i="1"/>
  <c r="X11" i="1" s="1"/>
  <c r="V12" i="1"/>
  <c r="X12" i="1" s="1"/>
  <c r="V13" i="1"/>
  <c r="X13" i="1" s="1"/>
  <c r="V14" i="1"/>
  <c r="X14" i="1" s="1"/>
  <c r="V15" i="1"/>
  <c r="X15" i="1" s="1"/>
  <c r="V16" i="1"/>
  <c r="X16" i="1" s="1"/>
  <c r="V6" i="1"/>
  <c r="X6" i="1" s="1"/>
  <c r="V4" i="1"/>
  <c r="X4" i="1" s="1"/>
  <c r="H11" i="1" l="1"/>
  <c r="J11" i="1" s="1"/>
  <c r="H21" i="1"/>
  <c r="J21" i="1" s="1"/>
  <c r="H7" i="1"/>
  <c r="J7" i="1" s="1"/>
  <c r="H15" i="1"/>
  <c r="J15" i="1" s="1"/>
  <c r="H8" i="1"/>
  <c r="J8" i="1" s="1"/>
  <c r="H6" i="1"/>
  <c r="J6" i="1" s="1"/>
  <c r="H10" i="1"/>
  <c r="J10" i="1" s="1"/>
  <c r="H14" i="1"/>
  <c r="J14" i="1" s="1"/>
  <c r="H19" i="1"/>
  <c r="J19" i="1" s="1"/>
  <c r="H23" i="1"/>
  <c r="J23" i="1" s="1"/>
  <c r="H20" i="1"/>
  <c r="J20" i="1" s="1"/>
  <c r="H24" i="1"/>
  <c r="J24" i="1" s="1"/>
  <c r="H12" i="1"/>
  <c r="J12" i="1" s="1"/>
  <c r="H16" i="1"/>
  <c r="J16" i="1" s="1"/>
  <c r="H4" i="1"/>
  <c r="J4" i="1" s="1"/>
  <c r="H9" i="1"/>
  <c r="J9" i="1" s="1"/>
  <c r="H13" i="1"/>
  <c r="J13" i="1" s="1"/>
  <c r="H18" i="1"/>
  <c r="J18" i="1" s="1"/>
  <c r="H22" i="1"/>
  <c r="J22" i="1" s="1"/>
</calcChain>
</file>

<file path=xl/sharedStrings.xml><?xml version="1.0" encoding="utf-8"?>
<sst xmlns="http://schemas.openxmlformats.org/spreadsheetml/2006/main" count="288" uniqueCount="109">
  <si>
    <t>Perceel</t>
  </si>
  <si>
    <t>Product</t>
  </si>
  <si>
    <t>Totaal volume</t>
  </si>
  <si>
    <t>Eenheid</t>
  </si>
  <si>
    <t>Lot</t>
  </si>
  <si>
    <t>Produit</t>
  </si>
  <si>
    <t>Emballage unité</t>
  </si>
  <si>
    <t>Volume total</t>
  </si>
  <si>
    <t>Unité</t>
  </si>
  <si>
    <t>Conversion en tonnes</t>
  </si>
  <si>
    <t>Unités distribuées</t>
  </si>
  <si>
    <t>Lait demi-écrémé
Halfvolle melk</t>
  </si>
  <si>
    <t>Tomates pelées
Gepelde tomaten</t>
  </si>
  <si>
    <t>Tonnes
Ton</t>
  </si>
  <si>
    <t>Lien avec les indicateurs de réalisation
Link met outputindicatoren</t>
  </si>
  <si>
    <t>Plats cuisinés, autres denrées alimentaires (qui ne relèvent pas des catégories susmentionnées)
Kant-en-klare levensmiddelen, andere levensmiddelen</t>
  </si>
  <si>
    <t>Graisses, huiles
Vet, olie</t>
  </si>
  <si>
    <t>Fruits et légumes
Fruit en groeten</t>
  </si>
  <si>
    <t>Farine, pain, pommes de terre, riz et autres produits riches en amidon
Meel, brood, aardappelen, rijst en andere zetmeelhoudende producten</t>
  </si>
  <si>
    <t>Viandes, œufs, poissons et fruits de mer
Vlees, eieren, vis, schaal- en schelpdieren</t>
  </si>
  <si>
    <t>Haricots verts en conserve
Sperziebonen</t>
  </si>
  <si>
    <t>Fromage fondu à tartiner
Smeerkaas</t>
  </si>
  <si>
    <t>Confiture extra aux fraises
Aardbeienconfituur extra</t>
  </si>
  <si>
    <t>Pétales de blé au chocolat
Tarwevlokken met chocolade</t>
  </si>
  <si>
    <t>1l</t>
  </si>
  <si>
    <t>125g</t>
  </si>
  <si>
    <t>420g</t>
  </si>
  <si>
    <t>1000g</t>
  </si>
  <si>
    <t>500g</t>
  </si>
  <si>
    <t>400g</t>
  </si>
  <si>
    <t>Litre
Liter</t>
  </si>
  <si>
    <t>Gramme
Gram</t>
  </si>
  <si>
    <t>140g</t>
  </si>
  <si>
    <t>Lots 2014
Percelen 2014</t>
  </si>
  <si>
    <t>Lots 2015
Percelen 2015</t>
  </si>
  <si>
    <t>2, 3, 4</t>
  </si>
  <si>
    <t>7 , 8, 9</t>
  </si>
  <si>
    <t>10, 12, 14</t>
  </si>
  <si>
    <t>5, 6, 13</t>
  </si>
  <si>
    <t>2, 4</t>
  </si>
  <si>
    <t>1, 9</t>
  </si>
  <si>
    <t>3, 7, 8, 10</t>
  </si>
  <si>
    <t>12, 15</t>
  </si>
  <si>
    <t>5, 6, 13, 14</t>
  </si>
  <si>
    <t>Hoeveelheden aangekocht aan de basis</t>
  </si>
  <si>
    <t>Lots 2016
Percelen 2016</t>
  </si>
  <si>
    <t>Salade de riz au thon
Rijstsalade met tonijn</t>
  </si>
  <si>
    <t>Pâtes: Penne
Pasta: Penne</t>
  </si>
  <si>
    <t>Pâtes: Farfalle
Pasta: Farfalle</t>
  </si>
  <si>
    <t>Riz
Rijst</t>
  </si>
  <si>
    <t>Pois chiches
Kikkererwten</t>
  </si>
  <si>
    <t>100g</t>
  </si>
  <si>
    <t>Soupe de tomates-légumes au bouillon de légumes
Groentesoep met groentebouillon</t>
  </si>
  <si>
    <t>Farine de blé
Tarwemeel</t>
  </si>
  <si>
    <t>Macédoine de légumes
Groentemacdoine</t>
  </si>
  <si>
    <t>Mousseline de pomme
Appelmousseline</t>
  </si>
  <si>
    <t>Huile d’olive
Olijfolie</t>
  </si>
  <si>
    <t>Biscuits secs «petit beurre»
Droge koekjes "petit beurre"</t>
  </si>
  <si>
    <t>Chocolat noir issu du commerce équitable
Fairtrade fondant chocolade</t>
  </si>
  <si>
    <t>Poulet sauce forestière
Kip in champignonsaus</t>
  </si>
  <si>
    <t>Sucre
Suiker</t>
  </si>
  <si>
    <t>Maquereaux à l’huile d’olive
Makreel in olijfolie</t>
  </si>
  <si>
    <t>250g</t>
  </si>
  <si>
    <t>475g</t>
  </si>
  <si>
    <t>200g</t>
  </si>
  <si>
    <t>Quantité de sucre
Hoeveelheid suiker</t>
  </si>
  <si>
    <t>10, 11, 12, 13</t>
  </si>
  <si>
    <t>1, 15</t>
  </si>
  <si>
    <t>5, 7, 8, 9, 21</t>
  </si>
  <si>
    <t>3,4, 16, 18, 19, 20</t>
  </si>
  <si>
    <t>QUANTITES RESIDUELLES CAMPAGNE 2016
RESTERENDE HOEVEELHEDEN CAMPAGNE 2016</t>
  </si>
  <si>
    <t>Unités achetées à la base</t>
  </si>
  <si>
    <t>Hoeveelheden verdeeld in 2016</t>
  </si>
  <si>
    <t>Verpakking eenheid</t>
  </si>
  <si>
    <t>Omzetting naar ton</t>
  </si>
  <si>
    <t>Lots 2017
Percelen 2017</t>
  </si>
  <si>
    <t>Untités distribuées en 2016</t>
  </si>
  <si>
    <t>Unités résiduelles campagne 2016</t>
  </si>
  <si>
    <t>Resterende eenheden campagne 2016</t>
  </si>
  <si>
    <t>Verdeelde 
eenheden</t>
  </si>
  <si>
    <t>Verpakking 
eenheid</t>
  </si>
  <si>
    <t>Omzetting 
naar ton</t>
  </si>
  <si>
    <t>Fruits secs
Gedroogd fruit</t>
  </si>
  <si>
    <t>Confiture aux 4 fruits rouges
Confituur met 4 rode vruchten</t>
  </si>
  <si>
    <t>Poulet aux olives et citrons
Kip met olijven en citroen</t>
  </si>
  <si>
    <t>Boulettes sauce tomate
Balletjes in tomatensaus</t>
  </si>
  <si>
    <t>Galettes de maïs sans OGM
Maïswafels zonder GGG</t>
  </si>
  <si>
    <t>Haricots blancs
Witte bonen</t>
  </si>
  <si>
    <t>Pâtes: Coquillettes
Pasta: horentjes</t>
  </si>
  <si>
    <t>Pâtes: spaghetti biologiques
Pasta: biologische spaghetti</t>
  </si>
  <si>
    <t>Café moulu 100% arabica issu du commerce équitable
Gemalen koffie 100% arabica fairtrade</t>
  </si>
  <si>
    <t>Salade de riz au thon issu de la pêche durable
Rijstsalade met tonijn afkomstig van duurzame visvangst</t>
  </si>
  <si>
    <t>380g</t>
  </si>
  <si>
    <t>480g</t>
  </si>
  <si>
    <t>130g</t>
  </si>
  <si>
    <t>Mousseline de pommes
Appelmousseline</t>
  </si>
  <si>
    <t>1, 14</t>
  </si>
  <si>
    <t>4, 6, 7, 8, 19</t>
  </si>
  <si>
    <t>9, 10, 11, 12, 13, 20</t>
  </si>
  <si>
    <t>3, 5, 15, 17, 18, 21, 22</t>
  </si>
  <si>
    <t>Produits laitiers
Zuivelproducten</t>
  </si>
  <si>
    <t>Unités distribuées en 2017</t>
  </si>
  <si>
    <t>Hoeveelheden verdeeld in 2017</t>
  </si>
  <si>
    <t>QUANTITES DISTRIBUEES 2018
VERDEELDE HOEVEELHEDEN 2018</t>
  </si>
  <si>
    <t>QUANTITES RESIDUELLES CAMPAGNE 2017
RESTERENDE HOEVEELHEDEN CAMPAGNE 2017</t>
  </si>
  <si>
    <t xml:space="preserve">Unités achétées à la base - livrées en 2017 et 2018 </t>
  </si>
  <si>
    <t>Hoeveelheden aangekocht aan de basis geleverd in 2017 en 2018</t>
  </si>
  <si>
    <t>Unités résiduelles campagne 2017</t>
  </si>
  <si>
    <t>Resterende eenheden campagne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</si>
</sst>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7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</cellStyleXfs>
  <cellXfs count="167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/>
    <xf numFmtId="0" fontId="5" fillId="0" borderId="0" xfId="0" applyFont="1"/>
    <xf numFmtId="3" fontId="0" fillId="0" borderId="0" xfId="0" applyNumberFormat="1"/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Border="1"/>
    <xf numFmtId="3" fontId="0" fillId="0" borderId="0" xfId="0" applyNumberFormat="1" applyBorder="1"/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 applyProtection="1">
      <alignment vertical="center"/>
    </xf>
    <xf numFmtId="4" fontId="0" fillId="0" borderId="3" xfId="0" applyNumberFormat="1" applyFont="1" applyFill="1" applyBorder="1" applyAlignment="1" applyProtection="1">
      <alignment vertical="center"/>
    </xf>
    <xf numFmtId="3" fontId="0" fillId="0" borderId="12" xfId="0" applyNumberFormat="1" applyFont="1" applyFill="1" applyBorder="1" applyAlignment="1" applyProtection="1">
      <alignment vertical="center"/>
    </xf>
    <xf numFmtId="4" fontId="0" fillId="0" borderId="14" xfId="0" applyNumberFormat="1" applyFont="1" applyFill="1" applyBorder="1" applyAlignment="1" applyProtection="1">
      <alignment vertical="center"/>
    </xf>
    <xf numFmtId="1" fontId="0" fillId="2" borderId="13" xfId="0" applyNumberFormat="1" applyFont="1" applyFill="1" applyBorder="1" applyAlignment="1" applyProtection="1">
      <alignment horizontal="right" vertical="center"/>
    </xf>
    <xf numFmtId="4" fontId="0" fillId="9" borderId="3" xfId="0" applyNumberFormat="1" applyFont="1" applyFill="1" applyBorder="1" applyAlignment="1">
      <alignment vertical="center"/>
    </xf>
    <xf numFmtId="164" fontId="0" fillId="2" borderId="1" xfId="0" applyNumberFormat="1" applyFont="1" applyFill="1" applyBorder="1" applyAlignment="1" applyProtection="1">
      <alignment horizontal="left" vertical="center" wrapText="1"/>
    </xf>
    <xf numFmtId="1" fontId="0" fillId="2" borderId="2" xfId="0" applyNumberFormat="1" applyFont="1" applyFill="1" applyBorder="1" applyAlignment="1" applyProtection="1">
      <alignment horizontal="right" vertical="center"/>
    </xf>
    <xf numFmtId="0" fontId="0" fillId="0" borderId="0" xfId="0"/>
    <xf numFmtId="0" fontId="0" fillId="0" borderId="0" xfId="0" applyBorder="1"/>
    <xf numFmtId="0" fontId="1" fillId="0" borderId="16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3" fontId="0" fillId="0" borderId="22" xfId="0" applyNumberFormat="1" applyFont="1" applyBorder="1" applyAlignment="1">
      <alignment vertical="center"/>
    </xf>
    <xf numFmtId="0" fontId="1" fillId="0" borderId="30" xfId="0" applyFont="1" applyBorder="1" applyAlignment="1">
      <alignment horizontal="center" vertical="center" wrapText="1"/>
    </xf>
    <xf numFmtId="3" fontId="0" fillId="0" borderId="19" xfId="0" applyNumberFormat="1" applyFont="1" applyFill="1" applyBorder="1" applyAlignment="1" applyProtection="1">
      <alignment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 wrapText="1"/>
    </xf>
    <xf numFmtId="164" fontId="0" fillId="0" borderId="1" xfId="0" applyNumberFormat="1" applyFont="1" applyFill="1" applyBorder="1" applyAlignment="1" applyProtection="1">
      <alignment horizontal="center" vertical="center" wrapText="1"/>
    </xf>
    <xf numFmtId="3" fontId="0" fillId="0" borderId="30" xfId="0" applyNumberFormat="1" applyFont="1" applyFill="1" applyBorder="1" applyAlignment="1" applyProtection="1">
      <alignment vertical="center"/>
    </xf>
    <xf numFmtId="3" fontId="0" fillId="0" borderId="23" xfId="0" applyNumberFormat="1" applyFont="1" applyFill="1" applyBorder="1" applyAlignment="1" applyProtection="1">
      <alignment vertical="center"/>
    </xf>
    <xf numFmtId="164" fontId="0" fillId="0" borderId="23" xfId="0" applyNumberFormat="1" applyFont="1" applyFill="1" applyBorder="1" applyAlignment="1" applyProtection="1">
      <alignment horizontal="center" vertical="center" wrapText="1"/>
    </xf>
    <xf numFmtId="4" fontId="0" fillId="0" borderId="24" xfId="0" applyNumberFormat="1" applyFont="1" applyFill="1" applyBorder="1" applyAlignment="1" applyProtection="1">
      <alignment vertical="center"/>
    </xf>
    <xf numFmtId="164" fontId="0" fillId="2" borderId="20" xfId="0" applyNumberFormat="1" applyFont="1" applyFill="1" applyBorder="1" applyAlignment="1" applyProtection="1">
      <alignment horizontal="left" vertical="center" wrapText="1"/>
    </xf>
    <xf numFmtId="3" fontId="0" fillId="11" borderId="1" xfId="0" applyNumberFormat="1" applyFont="1" applyFill="1" applyBorder="1" applyAlignment="1" applyProtection="1">
      <alignment horizontal="left" vertical="center"/>
    </xf>
    <xf numFmtId="164" fontId="0" fillId="11" borderId="1" xfId="0" applyNumberFormat="1" applyFont="1" applyFill="1" applyBorder="1" applyAlignment="1" applyProtection="1">
      <alignment horizontal="center" vertical="center" wrapText="1"/>
    </xf>
    <xf numFmtId="4" fontId="4" fillId="12" borderId="1" xfId="0" applyNumberFormat="1" applyFont="1" applyFill="1" applyBorder="1"/>
    <xf numFmtId="3" fontId="0" fillId="11" borderId="19" xfId="0" applyNumberFormat="1" applyFont="1" applyFill="1" applyBorder="1" applyAlignment="1" applyProtection="1">
      <alignment vertical="center"/>
    </xf>
    <xf numFmtId="164" fontId="0" fillId="11" borderId="19" xfId="0" applyNumberFormat="1" applyFont="1" applyFill="1" applyBorder="1" applyAlignment="1" applyProtection="1">
      <alignment horizontal="center" vertical="center" wrapText="1"/>
    </xf>
    <xf numFmtId="3" fontId="0" fillId="11" borderId="1" xfId="0" applyNumberFormat="1" applyFont="1" applyFill="1" applyBorder="1" applyAlignment="1" applyProtection="1">
      <alignment vertical="center"/>
    </xf>
    <xf numFmtId="3" fontId="0" fillId="11" borderId="3" xfId="0" applyNumberFormat="1" applyFont="1" applyFill="1" applyBorder="1" applyAlignment="1" applyProtection="1">
      <alignment vertical="center"/>
    </xf>
    <xf numFmtId="3" fontId="0" fillId="11" borderId="5" xfId="0" applyNumberFormat="1" applyFont="1" applyFill="1" applyBorder="1" applyAlignment="1" applyProtection="1">
      <alignment vertical="center"/>
    </xf>
    <xf numFmtId="3" fontId="0" fillId="11" borderId="19" xfId="0" applyNumberFormat="1" applyFont="1" applyFill="1" applyBorder="1" applyAlignment="1" applyProtection="1">
      <alignment horizontal="left" vertical="center"/>
    </xf>
    <xf numFmtId="4" fontId="0" fillId="0" borderId="0" xfId="0" applyNumberFormat="1"/>
    <xf numFmtId="1" fontId="0" fillId="0" borderId="22" xfId="0" applyNumberFormat="1" applyFont="1" applyFill="1" applyBorder="1" applyAlignment="1" applyProtection="1">
      <alignment horizontal="right" vertical="center"/>
    </xf>
    <xf numFmtId="1" fontId="0" fillId="0" borderId="2" xfId="0" applyNumberFormat="1" applyFont="1" applyFill="1" applyBorder="1" applyAlignment="1" applyProtection="1">
      <alignment horizontal="right" vertical="center"/>
    </xf>
    <xf numFmtId="4" fontId="0" fillId="0" borderId="3" xfId="0" applyNumberFormat="1" applyFont="1" applyFill="1" applyBorder="1" applyAlignment="1">
      <alignment vertical="center"/>
    </xf>
    <xf numFmtId="1" fontId="0" fillId="0" borderId="4" xfId="0" applyNumberFormat="1" applyFont="1" applyFill="1" applyBorder="1" applyAlignment="1" applyProtection="1">
      <alignment horizontal="right" vertical="center"/>
    </xf>
    <xf numFmtId="164" fontId="0" fillId="0" borderId="19" xfId="0" applyNumberFormat="1" applyFont="1" applyFill="1" applyBorder="1" applyAlignment="1" applyProtection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35" xfId="0" applyFont="1" applyBorder="1" applyAlignment="1">
      <alignment wrapText="1"/>
    </xf>
    <xf numFmtId="0" fontId="0" fillId="0" borderId="36" xfId="0" applyFont="1" applyBorder="1" applyAlignment="1">
      <alignment wrapText="1"/>
    </xf>
    <xf numFmtId="0" fontId="0" fillId="9" borderId="37" xfId="0" applyFont="1" applyFill="1" applyBorder="1" applyAlignment="1">
      <alignment horizontal="right"/>
    </xf>
    <xf numFmtId="0" fontId="0" fillId="9" borderId="38" xfId="0" applyFont="1" applyFill="1" applyBorder="1" applyAlignment="1">
      <alignment horizontal="right"/>
    </xf>
    <xf numFmtId="0" fontId="0" fillId="9" borderId="39" xfId="0" applyFont="1" applyFill="1" applyBorder="1" applyAlignment="1">
      <alignment horizontal="right"/>
    </xf>
    <xf numFmtId="0" fontId="0" fillId="0" borderId="40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0" fillId="0" borderId="39" xfId="0" applyBorder="1" applyAlignment="1">
      <alignment horizontal="right"/>
    </xf>
    <xf numFmtId="3" fontId="0" fillId="0" borderId="0" xfId="0" applyNumberFormat="1" applyFont="1" applyFill="1" applyBorder="1" applyAlignment="1" applyProtection="1">
      <alignment horizontal="left" vertical="center"/>
    </xf>
    <xf numFmtId="1" fontId="0" fillId="0" borderId="0" xfId="0" applyNumberFormat="1" applyFont="1" applyFill="1" applyBorder="1" applyAlignment="1" applyProtection="1">
      <alignment horizontal="right" vertical="center"/>
    </xf>
    <xf numFmtId="164" fontId="0" fillId="0" borderId="0" xfId="0" applyNumberFormat="1" applyFont="1" applyFill="1" applyBorder="1" applyAlignment="1" applyProtection="1">
      <alignment horizontal="left" vertical="center" wrapText="1"/>
    </xf>
    <xf numFmtId="3" fontId="0" fillId="0" borderId="0" xfId="0" applyNumberFormat="1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 applyProtection="1">
      <alignment horizontal="center" vertical="center" wrapText="1"/>
    </xf>
    <xf numFmtId="164" fontId="0" fillId="2" borderId="43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/>
    <xf numFmtId="3" fontId="0" fillId="0" borderId="1" xfId="0" applyNumberFormat="1" applyFont="1" applyFill="1" applyBorder="1" applyAlignment="1" applyProtection="1">
      <alignment horizontal="right" vertical="center"/>
    </xf>
    <xf numFmtId="1" fontId="0" fillId="10" borderId="2" xfId="0" applyNumberFormat="1" applyFont="1" applyFill="1" applyBorder="1" applyAlignment="1" applyProtection="1">
      <alignment horizontal="right" vertical="center"/>
    </xf>
    <xf numFmtId="1" fontId="0" fillId="11" borderId="22" xfId="0" applyNumberFormat="1" applyFont="1" applyFill="1" applyBorder="1" applyAlignment="1" applyProtection="1">
      <alignment horizontal="right" vertical="center"/>
    </xf>
    <xf numFmtId="164" fontId="0" fillId="11" borderId="23" xfId="0" applyNumberFormat="1" applyFont="1" applyFill="1" applyBorder="1" applyAlignment="1" applyProtection="1">
      <alignment horizontal="left" vertical="center" wrapText="1"/>
    </xf>
    <xf numFmtId="3" fontId="0" fillId="11" borderId="23" xfId="0" applyNumberFormat="1" applyFont="1" applyFill="1" applyBorder="1" applyAlignment="1" applyProtection="1">
      <alignment horizontal="left" vertical="center"/>
    </xf>
    <xf numFmtId="3" fontId="0" fillId="11" borderId="23" xfId="0" applyNumberFormat="1" applyFont="1" applyFill="1" applyBorder="1" applyAlignment="1" applyProtection="1">
      <alignment vertical="center"/>
    </xf>
    <xf numFmtId="164" fontId="0" fillId="11" borderId="23" xfId="0" applyNumberFormat="1" applyFont="1" applyFill="1" applyBorder="1" applyAlignment="1" applyProtection="1">
      <alignment horizontal="center" vertical="center" wrapText="1"/>
    </xf>
    <xf numFmtId="3" fontId="0" fillId="11" borderId="24" xfId="0" applyNumberFormat="1" applyFont="1" applyFill="1" applyBorder="1" applyAlignment="1" applyProtection="1">
      <alignment vertical="center"/>
    </xf>
    <xf numFmtId="1" fontId="0" fillId="11" borderId="2" xfId="0" applyNumberFormat="1" applyFont="1" applyFill="1" applyBorder="1" applyAlignment="1" applyProtection="1">
      <alignment horizontal="right" vertical="center"/>
    </xf>
    <xf numFmtId="164" fontId="0" fillId="11" borderId="1" xfId="0" applyNumberFormat="1" applyFont="1" applyFill="1" applyBorder="1" applyAlignment="1" applyProtection="1">
      <alignment horizontal="left" vertical="center" wrapText="1"/>
    </xf>
    <xf numFmtId="1" fontId="0" fillId="11" borderId="4" xfId="0" applyNumberFormat="1" applyFont="1" applyFill="1" applyBorder="1" applyAlignment="1" applyProtection="1">
      <alignment horizontal="right" vertical="center"/>
    </xf>
    <xf numFmtId="164" fontId="0" fillId="11" borderId="19" xfId="0" applyNumberFormat="1" applyFont="1" applyFill="1" applyBorder="1" applyAlignment="1" applyProtection="1">
      <alignment horizontal="left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4" fontId="4" fillId="10" borderId="34" xfId="0" applyNumberFormat="1" applyFont="1" applyFill="1" applyBorder="1"/>
    <xf numFmtId="4" fontId="4" fillId="10" borderId="1" xfId="0" applyNumberFormat="1" applyFont="1" applyFill="1" applyBorder="1"/>
    <xf numFmtId="4" fontId="4" fillId="10" borderId="3" xfId="0" applyNumberFormat="1" applyFont="1" applyFill="1" applyBorder="1"/>
    <xf numFmtId="164" fontId="0" fillId="10" borderId="20" xfId="0" applyNumberFormat="1" applyFont="1" applyFill="1" applyBorder="1" applyAlignment="1" applyProtection="1">
      <alignment horizontal="left" vertical="center" wrapText="1"/>
    </xf>
    <xf numFmtId="3" fontId="4" fillId="10" borderId="2" xfId="0" applyNumberFormat="1" applyFont="1" applyFill="1" applyBorder="1"/>
    <xf numFmtId="4" fontId="4" fillId="10" borderId="26" xfId="0" applyNumberFormat="1" applyFont="1" applyFill="1" applyBorder="1"/>
    <xf numFmtId="4" fontId="4" fillId="10" borderId="12" xfId="0" applyNumberFormat="1" applyFont="1" applyFill="1" applyBorder="1"/>
    <xf numFmtId="1" fontId="0" fillId="9" borderId="22" xfId="0" applyNumberFormat="1" applyFont="1" applyFill="1" applyBorder="1" applyAlignment="1" applyProtection="1">
      <alignment horizontal="right" vertical="center"/>
    </xf>
    <xf numFmtId="164" fontId="0" fillId="9" borderId="28" xfId="0" applyNumberFormat="1" applyFont="1" applyFill="1" applyBorder="1" applyAlignment="1" applyProtection="1">
      <alignment horizontal="left" vertical="center" wrapText="1"/>
    </xf>
    <xf numFmtId="3" fontId="0" fillId="9" borderId="23" xfId="0" applyNumberFormat="1" applyFont="1" applyFill="1" applyBorder="1" applyAlignment="1" applyProtection="1">
      <alignment horizontal="left" vertical="center"/>
    </xf>
    <xf numFmtId="3" fontId="0" fillId="9" borderId="30" xfId="0" applyNumberFormat="1" applyFont="1" applyFill="1" applyBorder="1" applyAlignment="1" applyProtection="1">
      <alignment vertical="center"/>
    </xf>
    <xf numFmtId="3" fontId="0" fillId="9" borderId="23" xfId="0" applyNumberFormat="1" applyFont="1" applyFill="1" applyBorder="1" applyAlignment="1" applyProtection="1">
      <alignment vertical="center"/>
    </xf>
    <xf numFmtId="164" fontId="0" fillId="9" borderId="23" xfId="0" applyNumberFormat="1" applyFont="1" applyFill="1" applyBorder="1" applyAlignment="1" applyProtection="1">
      <alignment horizontal="center" vertical="center" wrapText="1"/>
    </xf>
    <xf numFmtId="4" fontId="0" fillId="9" borderId="29" xfId="0" applyNumberFormat="1" applyFont="1" applyFill="1" applyBorder="1" applyAlignment="1">
      <alignment vertical="center"/>
    </xf>
    <xf numFmtId="1" fontId="0" fillId="9" borderId="2" xfId="0" applyNumberFormat="1" applyFont="1" applyFill="1" applyBorder="1" applyAlignment="1" applyProtection="1">
      <alignment horizontal="right" vertical="center"/>
    </xf>
    <xf numFmtId="164" fontId="0" fillId="9" borderId="20" xfId="0" applyNumberFormat="1" applyFont="1" applyFill="1" applyBorder="1" applyAlignment="1" applyProtection="1">
      <alignment horizontal="left" vertical="center" wrapText="1"/>
    </xf>
    <xf numFmtId="3" fontId="0" fillId="9" borderId="1" xfId="0" applyNumberFormat="1" applyFont="1" applyFill="1" applyBorder="1" applyAlignment="1" applyProtection="1">
      <alignment horizontal="left" vertical="center"/>
    </xf>
    <xf numFmtId="3" fontId="0" fillId="9" borderId="1" xfId="0" applyNumberFormat="1" applyFont="1" applyFill="1" applyBorder="1" applyAlignment="1" applyProtection="1">
      <alignment vertical="center"/>
    </xf>
    <xf numFmtId="164" fontId="0" fillId="9" borderId="1" xfId="0" applyNumberFormat="1" applyFont="1" applyFill="1" applyBorder="1" applyAlignment="1" applyProtection="1">
      <alignment horizontal="center" vertical="center" wrapText="1"/>
    </xf>
    <xf numFmtId="3" fontId="0" fillId="9" borderId="3" xfId="0" applyNumberFormat="1" applyFont="1" applyFill="1" applyBorder="1" applyAlignment="1" applyProtection="1">
      <alignment vertical="center"/>
    </xf>
    <xf numFmtId="3" fontId="0" fillId="9" borderId="12" xfId="0" applyNumberFormat="1" applyFont="1" applyFill="1" applyBorder="1" applyAlignment="1" applyProtection="1">
      <alignment vertical="center"/>
    </xf>
    <xf numFmtId="0" fontId="0" fillId="9" borderId="1" xfId="0" applyFont="1" applyFill="1" applyBorder="1" applyAlignment="1">
      <alignment vertical="center" wrapText="1"/>
    </xf>
    <xf numFmtId="164" fontId="0" fillId="9" borderId="1" xfId="0" applyNumberFormat="1" applyFont="1" applyFill="1" applyBorder="1" applyAlignment="1" applyProtection="1">
      <alignment horizontal="left" vertical="center" wrapText="1"/>
    </xf>
    <xf numFmtId="1" fontId="0" fillId="9" borderId="13" xfId="0" applyNumberFormat="1" applyFont="1" applyFill="1" applyBorder="1" applyAlignment="1" applyProtection="1">
      <alignment horizontal="right" vertical="center"/>
    </xf>
    <xf numFmtId="164" fontId="0" fillId="9" borderId="43" xfId="0" applyNumberFormat="1" applyFont="1" applyFill="1" applyBorder="1" applyAlignment="1" applyProtection="1">
      <alignment horizontal="left" vertical="center" wrapText="1"/>
    </xf>
    <xf numFmtId="3" fontId="0" fillId="9" borderId="12" xfId="0" applyNumberFormat="1" applyFont="1" applyFill="1" applyBorder="1" applyAlignment="1" applyProtection="1">
      <alignment horizontal="left" vertical="center"/>
    </xf>
    <xf numFmtId="164" fontId="0" fillId="9" borderId="12" xfId="0" applyNumberFormat="1" applyFont="1" applyFill="1" applyBorder="1" applyAlignment="1" applyProtection="1">
      <alignment horizontal="center" vertical="center" wrapText="1"/>
    </xf>
    <xf numFmtId="3" fontId="0" fillId="9" borderId="14" xfId="0" applyNumberFormat="1" applyFont="1" applyFill="1" applyBorder="1" applyAlignment="1" applyProtection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 applyProtection="1">
      <alignment horizontal="right" vertical="center"/>
    </xf>
    <xf numFmtId="3" fontId="0" fillId="0" borderId="2" xfId="0" applyNumberFormat="1" applyFont="1" applyFill="1" applyBorder="1" applyAlignment="1" applyProtection="1">
      <alignment vertical="center"/>
    </xf>
    <xf numFmtId="4" fontId="0" fillId="10" borderId="3" xfId="0" applyNumberFormat="1" applyFont="1" applyFill="1" applyBorder="1" applyAlignment="1" applyProtection="1">
      <alignment vertical="center"/>
    </xf>
    <xf numFmtId="1" fontId="0" fillId="0" borderId="36" xfId="0" applyNumberFormat="1" applyFont="1" applyFill="1" applyBorder="1" applyAlignment="1" applyProtection="1">
      <alignment horizontal="right" vertical="center"/>
    </xf>
    <xf numFmtId="164" fontId="0" fillId="2" borderId="46" xfId="0" applyNumberFormat="1" applyFont="1" applyFill="1" applyBorder="1" applyAlignment="1" applyProtection="1">
      <alignment horizontal="left" vertical="center" wrapText="1"/>
    </xf>
    <xf numFmtId="3" fontId="0" fillId="0" borderId="13" xfId="0" applyNumberFormat="1" applyFont="1" applyFill="1" applyBorder="1" applyAlignment="1" applyProtection="1">
      <alignment vertical="center"/>
    </xf>
    <xf numFmtId="164" fontId="0" fillId="2" borderId="44" xfId="0" applyNumberFormat="1" applyFont="1" applyFill="1" applyBorder="1" applyAlignment="1" applyProtection="1">
      <alignment horizontal="left" vertical="center" wrapText="1"/>
    </xf>
    <xf numFmtId="0" fontId="0" fillId="0" borderId="44" xfId="0" applyFont="1" applyBorder="1" applyAlignment="1">
      <alignment vertical="center" wrapText="1"/>
    </xf>
    <xf numFmtId="164" fontId="0" fillId="2" borderId="45" xfId="0" applyNumberFormat="1" applyFont="1" applyFill="1" applyBorder="1" applyAlignment="1" applyProtection="1">
      <alignment horizontal="left" vertical="center" wrapText="1"/>
    </xf>
    <xf numFmtId="3" fontId="0" fillId="0" borderId="23" xfId="0" applyNumberFormat="1" applyFont="1" applyFill="1" applyBorder="1" applyAlignment="1" applyProtection="1">
      <alignment horizontal="right" vertical="center"/>
    </xf>
    <xf numFmtId="4" fontId="4" fillId="12" borderId="26" xfId="0" applyNumberFormat="1" applyFont="1" applyFill="1" applyBorder="1" applyAlignment="1">
      <alignment horizontal="right"/>
    </xf>
    <xf numFmtId="4" fontId="4" fillId="10" borderId="12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 applyProtection="1">
      <alignment horizontal="right" vertical="center"/>
    </xf>
    <xf numFmtId="4" fontId="4" fillId="12" borderId="34" xfId="0" applyNumberFormat="1" applyFont="1" applyFill="1" applyBorder="1" applyAlignment="1">
      <alignment horizontal="right"/>
    </xf>
    <xf numFmtId="4" fontId="4" fillId="10" borderId="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 applyProtection="1">
      <alignment horizontal="right" vertical="center"/>
    </xf>
    <xf numFmtId="3" fontId="0" fillId="0" borderId="19" xfId="0" applyNumberFormat="1" applyFont="1" applyFill="1" applyBorder="1" applyAlignment="1" applyProtection="1">
      <alignment horizontal="right" vertical="center"/>
    </xf>
    <xf numFmtId="3" fontId="0" fillId="0" borderId="1" xfId="0" applyNumberFormat="1" applyBorder="1" applyAlignment="1">
      <alignment horizontal="right" vertical="center"/>
    </xf>
    <xf numFmtId="4" fontId="0" fillId="0" borderId="24" xfId="0" applyNumberFormat="1" applyFont="1" applyFill="1" applyBorder="1" applyAlignment="1" applyProtection="1">
      <alignment horizontal="right" vertical="center"/>
    </xf>
    <xf numFmtId="4" fontId="0" fillId="0" borderId="3" xfId="0" applyNumberFormat="1" applyFont="1" applyFill="1" applyBorder="1" applyAlignment="1" applyProtection="1">
      <alignment horizontal="right" vertical="center"/>
    </xf>
    <xf numFmtId="3" fontId="0" fillId="0" borderId="23" xfId="0" applyNumberFormat="1" applyFont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0" fontId="5" fillId="10" borderId="1" xfId="0" applyFont="1" applyFill="1" applyBorder="1" applyAlignment="1"/>
    <xf numFmtId="4" fontId="0" fillId="0" borderId="27" xfId="0" applyNumberFormat="1" applyBorder="1"/>
    <xf numFmtId="4" fontId="0" fillId="0" borderId="41" xfId="0" applyNumberFormat="1" applyBorder="1"/>
    <xf numFmtId="4" fontId="0" fillId="0" borderId="11" xfId="0" applyNumberFormat="1" applyBorder="1"/>
    <xf numFmtId="4" fontId="0" fillId="0" borderId="42" xfId="0" applyNumberFormat="1" applyBorder="1"/>
    <xf numFmtId="4" fontId="6" fillId="0" borderId="0" xfId="0" applyNumberFormat="1" applyFont="1" applyFill="1" applyBorder="1" applyAlignment="1" applyProtection="1">
      <alignment horizontal="right" vertical="center"/>
    </xf>
    <xf numFmtId="164" fontId="0" fillId="0" borderId="20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ont="1" applyFill="1" applyBorder="1" applyAlignment="1" applyProtection="1">
      <alignment horizontal="right" vertical="center"/>
    </xf>
    <xf numFmtId="3" fontId="0" fillId="10" borderId="1" xfId="0" applyNumberFormat="1" applyFont="1" applyFill="1" applyBorder="1" applyAlignment="1" applyProtection="1">
      <alignment horizontal="right" vertical="center"/>
    </xf>
    <xf numFmtId="164" fontId="0" fillId="0" borderId="12" xfId="0" applyNumberFormat="1" applyFont="1" applyFill="1" applyBorder="1" applyAlignment="1" applyProtection="1">
      <alignment horizontal="center" vertical="center" wrapText="1"/>
    </xf>
    <xf numFmtId="1" fontId="0" fillId="2" borderId="7" xfId="0" applyNumberFormat="1" applyFont="1" applyFill="1" applyBorder="1" applyAlignment="1" applyProtection="1">
      <alignment horizontal="right" vertical="center"/>
    </xf>
    <xf numFmtId="3" fontId="0" fillId="0" borderId="33" xfId="0" applyNumberFormat="1" applyFont="1" applyFill="1" applyBorder="1" applyAlignment="1" applyProtection="1">
      <alignment vertical="center"/>
    </xf>
    <xf numFmtId="3" fontId="0" fillId="0" borderId="6" xfId="0" applyNumberFormat="1" applyFont="1" applyFill="1" applyBorder="1" applyAlignment="1" applyProtection="1">
      <alignment vertical="center"/>
    </xf>
    <xf numFmtId="164" fontId="0" fillId="0" borderId="6" xfId="0" applyNumberFormat="1" applyFont="1" applyFill="1" applyBorder="1" applyAlignment="1" applyProtection="1">
      <alignment horizontal="center" vertical="center" wrapText="1"/>
    </xf>
    <xf numFmtId="4" fontId="0" fillId="0" borderId="27" xfId="0" applyNumberFormat="1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3" fontId="5" fillId="0" borderId="0" xfId="0" applyNumberFormat="1" applyFont="1"/>
    <xf numFmtId="4" fontId="0" fillId="0" borderId="5" xfId="0" applyNumberFormat="1" applyFont="1" applyFill="1" applyBorder="1" applyAlignment="1" applyProtection="1">
      <alignment vertical="center"/>
    </xf>
    <xf numFmtId="4" fontId="0" fillId="0" borderId="5" xfId="0" applyNumberFormat="1" applyFont="1" applyFill="1" applyBorder="1" applyAlignment="1" applyProtection="1">
      <alignment horizontal="right" vertical="center"/>
    </xf>
    <xf numFmtId="3" fontId="0" fillId="0" borderId="22" xfId="0" applyNumberFormat="1" applyFont="1" applyFill="1" applyBorder="1" applyAlignment="1" applyProtection="1">
      <alignment vertical="center"/>
    </xf>
    <xf numFmtId="3" fontId="0" fillId="0" borderId="4" xfId="0" applyNumberFormat="1" applyFont="1" applyFill="1" applyBorder="1" applyAlignment="1" applyProtection="1">
      <alignment vertical="center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0" fillId="9" borderId="8" xfId="0" applyFont="1" applyFill="1" applyBorder="1" applyAlignment="1">
      <alignment horizontal="center"/>
    </xf>
    <xf numFmtId="0" fontId="0" fillId="9" borderId="9" xfId="0" applyFont="1" applyFill="1" applyBorder="1" applyAlignment="1">
      <alignment horizontal="center"/>
    </xf>
    <xf numFmtId="0" fontId="0" fillId="9" borderId="10" xfId="0" applyFont="1" applyFill="1" applyBorder="1" applyAlignment="1">
      <alignment horizontal="center"/>
    </xf>
  </cellXfs>
  <cellStyles count="7">
    <cellStyle name="Accent1" xfId="1" builtinId="29" customBuiltin="1"/>
    <cellStyle name="Accent2" xfId="2" builtinId="33" customBuiltin="1"/>
    <cellStyle name="Accent3" xfId="3" builtinId="37" customBuiltin="1"/>
    <cellStyle name="Accent4" xfId="4" builtinId="41" customBuiltin="1"/>
    <cellStyle name="Accent5" xfId="5" builtinId="45" customBuiltin="1"/>
    <cellStyle name="Accent6" xfId="6" builtinId="49" customBuiltin="1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erwerkenStocks3112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orraadstaat_2018_bijlage_ix__"/>
    </sheetNames>
    <sheetDataSet>
      <sheetData sheetId="0">
        <row r="702">
          <cell r="AB702">
            <v>413755</v>
          </cell>
          <cell r="AF702">
            <v>245444</v>
          </cell>
          <cell r="AJ702">
            <v>107961</v>
          </cell>
          <cell r="AN702">
            <v>134885</v>
          </cell>
          <cell r="AR702">
            <v>129725</v>
          </cell>
          <cell r="AV702">
            <v>207013</v>
          </cell>
          <cell r="AZ702">
            <v>183577</v>
          </cell>
          <cell r="BD702">
            <v>150462</v>
          </cell>
          <cell r="BH702">
            <v>221943</v>
          </cell>
          <cell r="BL702">
            <v>270664</v>
          </cell>
          <cell r="BP702">
            <v>178214</v>
          </cell>
          <cell r="BT702">
            <v>83773</v>
          </cell>
          <cell r="BX702">
            <v>81043</v>
          </cell>
          <cell r="CB702">
            <v>4264</v>
          </cell>
          <cell r="CF702">
            <v>260829</v>
          </cell>
          <cell r="CJ702">
            <v>88147</v>
          </cell>
          <cell r="CN702">
            <v>350085</v>
          </cell>
          <cell r="CR702">
            <v>99106</v>
          </cell>
          <cell r="CV702">
            <v>45355</v>
          </cell>
          <cell r="CZ702">
            <v>8469</v>
          </cell>
          <cell r="DD702">
            <v>55462</v>
          </cell>
          <cell r="DH702">
            <v>125544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7"/>
  <sheetViews>
    <sheetView tabSelected="1" zoomScale="90" zoomScaleNormal="90" workbookViewId="0">
      <pane ySplit="2" topLeftCell="A43" activePane="bottomLeft" state="frozen"/>
      <selection pane="bottomLeft" activeCell="G54" sqref="G54"/>
    </sheetView>
  </sheetViews>
  <sheetFormatPr defaultColWidth="9.140625" defaultRowHeight="15" x14ac:dyDescent="0.25"/>
  <cols>
    <col min="1" max="1" width="8.140625" style="21" customWidth="1"/>
    <col min="2" max="2" width="45.5703125" style="21" customWidth="1"/>
    <col min="3" max="3" width="16.28515625" style="21" customWidth="1"/>
    <col min="4" max="5" width="17.140625" style="21" customWidth="1"/>
    <col min="6" max="6" width="15.140625" style="21" customWidth="1"/>
    <col min="7" max="7" width="14.140625" style="21" customWidth="1"/>
    <col min="8" max="8" width="19.28515625" style="21" customWidth="1"/>
    <col min="9" max="9" width="10.28515625" style="21" customWidth="1"/>
    <col min="10" max="10" width="12.7109375" style="21" customWidth="1"/>
    <col min="11" max="11" width="8.140625" style="21" customWidth="1"/>
    <col min="12" max="12" width="57.7109375" style="21" customWidth="1"/>
    <col min="13" max="14" width="16.28515625" style="21" customWidth="1"/>
    <col min="15" max="15" width="17.140625" style="21" customWidth="1"/>
    <col min="16" max="16" width="12.140625" style="21" customWidth="1"/>
    <col min="17" max="17" width="19.28515625" style="21" customWidth="1"/>
    <col min="18" max="18" width="10.28515625" style="21" customWidth="1"/>
    <col min="19" max="19" width="12.7109375" style="21" customWidth="1"/>
    <col min="20" max="20" width="14.42578125" style="4" customWidth="1"/>
    <col min="21" max="21" width="12.140625" customWidth="1"/>
    <col min="22" max="22" width="14.5703125" customWidth="1"/>
    <col min="23" max="23" width="10.28515625" customWidth="1"/>
    <col min="24" max="24" width="15.42578125" customWidth="1"/>
  </cols>
  <sheetData>
    <row r="1" spans="1:25" s="2" customFormat="1" ht="48" customHeight="1" thickBot="1" x14ac:dyDescent="0.3">
      <c r="A1" s="161" t="s">
        <v>70</v>
      </c>
      <c r="B1" s="162"/>
      <c r="C1" s="162"/>
      <c r="D1" s="162"/>
      <c r="E1" s="162"/>
      <c r="F1" s="162"/>
      <c r="G1" s="162"/>
      <c r="H1" s="162"/>
      <c r="I1" s="162"/>
      <c r="J1" s="163"/>
      <c r="K1" s="161" t="s">
        <v>104</v>
      </c>
      <c r="L1" s="162"/>
      <c r="M1" s="162"/>
      <c r="N1" s="162"/>
      <c r="O1" s="162"/>
      <c r="P1" s="162"/>
      <c r="Q1" s="162"/>
      <c r="R1" s="162"/>
      <c r="S1" s="163"/>
      <c r="T1" s="158" t="s">
        <v>103</v>
      </c>
      <c r="U1" s="159"/>
      <c r="V1" s="159"/>
      <c r="W1" s="159"/>
      <c r="X1" s="160"/>
    </row>
    <row r="2" spans="1:25" s="1" customFormat="1" ht="68.25" customHeight="1" thickBot="1" x14ac:dyDescent="0.3">
      <c r="A2" s="5" t="s">
        <v>4</v>
      </c>
      <c r="B2" s="23" t="s">
        <v>5</v>
      </c>
      <c r="C2" s="23" t="s">
        <v>71</v>
      </c>
      <c r="D2" s="23" t="s">
        <v>76</v>
      </c>
      <c r="E2" s="23" t="s">
        <v>101</v>
      </c>
      <c r="F2" s="23" t="s">
        <v>77</v>
      </c>
      <c r="G2" s="23" t="s">
        <v>6</v>
      </c>
      <c r="H2" s="23" t="s">
        <v>7</v>
      </c>
      <c r="I2" s="9" t="s">
        <v>8</v>
      </c>
      <c r="J2" s="11" t="s">
        <v>9</v>
      </c>
      <c r="K2" s="5" t="s">
        <v>4</v>
      </c>
      <c r="L2" s="23" t="s">
        <v>5</v>
      </c>
      <c r="M2" s="23" t="s">
        <v>105</v>
      </c>
      <c r="N2" s="23" t="s">
        <v>101</v>
      </c>
      <c r="O2" s="23" t="s">
        <v>107</v>
      </c>
      <c r="P2" s="23" t="s">
        <v>6</v>
      </c>
      <c r="Q2" s="23" t="s">
        <v>7</v>
      </c>
      <c r="R2" s="9" t="s">
        <v>8</v>
      </c>
      <c r="S2" s="11" t="s">
        <v>9</v>
      </c>
      <c r="T2" s="12" t="s">
        <v>10</v>
      </c>
      <c r="U2" s="10" t="s">
        <v>6</v>
      </c>
      <c r="V2" s="10" t="s">
        <v>7</v>
      </c>
      <c r="W2" s="9" t="s">
        <v>8</v>
      </c>
      <c r="X2" s="11" t="s">
        <v>9</v>
      </c>
    </row>
    <row r="3" spans="1:25" s="1" customFormat="1" ht="80.25" customHeight="1" thickBot="1" x14ac:dyDescent="0.3">
      <c r="A3" s="5" t="s">
        <v>0</v>
      </c>
      <c r="B3" s="23" t="s">
        <v>1</v>
      </c>
      <c r="C3" s="23" t="s">
        <v>44</v>
      </c>
      <c r="D3" s="23" t="s">
        <v>72</v>
      </c>
      <c r="E3" s="152" t="s">
        <v>102</v>
      </c>
      <c r="F3" s="23" t="s">
        <v>78</v>
      </c>
      <c r="G3" s="23" t="s">
        <v>73</v>
      </c>
      <c r="H3" s="23" t="s">
        <v>2</v>
      </c>
      <c r="I3" s="9" t="s">
        <v>3</v>
      </c>
      <c r="J3" s="11" t="s">
        <v>74</v>
      </c>
      <c r="K3" s="51" t="s">
        <v>0</v>
      </c>
      <c r="L3" s="26" t="s">
        <v>1</v>
      </c>
      <c r="M3" s="26" t="s">
        <v>106</v>
      </c>
      <c r="N3" s="26" t="s">
        <v>102</v>
      </c>
      <c r="O3" s="26" t="s">
        <v>108</v>
      </c>
      <c r="P3" s="26" t="s">
        <v>73</v>
      </c>
      <c r="Q3" s="26" t="s">
        <v>2</v>
      </c>
      <c r="R3" s="28" t="s">
        <v>3</v>
      </c>
      <c r="S3" s="29" t="s">
        <v>74</v>
      </c>
      <c r="T3" s="82" t="s">
        <v>79</v>
      </c>
      <c r="U3" s="83" t="s">
        <v>80</v>
      </c>
      <c r="V3" s="83" t="s">
        <v>2</v>
      </c>
      <c r="W3" s="84" t="s">
        <v>3</v>
      </c>
      <c r="X3" s="85" t="s">
        <v>81</v>
      </c>
    </row>
    <row r="4" spans="1:25" s="3" customFormat="1" ht="30" x14ac:dyDescent="0.3">
      <c r="A4" s="147">
        <v>1</v>
      </c>
      <c r="B4" s="35" t="s">
        <v>11</v>
      </c>
      <c r="C4" s="144">
        <v>3077712</v>
      </c>
      <c r="D4" s="144">
        <v>446443</v>
      </c>
      <c r="E4" s="127">
        <v>2549464</v>
      </c>
      <c r="F4" s="144">
        <f>C4-D4-E4</f>
        <v>81805</v>
      </c>
      <c r="G4" s="148" t="s">
        <v>24</v>
      </c>
      <c r="H4" s="149">
        <f>F4</f>
        <v>81805</v>
      </c>
      <c r="I4" s="150" t="s">
        <v>30</v>
      </c>
      <c r="J4" s="151">
        <f>H4/1000*1.03</f>
        <v>84.259150000000005</v>
      </c>
      <c r="K4" s="93"/>
      <c r="L4" s="94"/>
      <c r="M4" s="95"/>
      <c r="N4" s="95"/>
      <c r="O4" s="95"/>
      <c r="P4" s="96"/>
      <c r="Q4" s="97"/>
      <c r="R4" s="98"/>
      <c r="S4" s="99"/>
      <c r="T4" s="25">
        <v>81805</v>
      </c>
      <c r="U4" s="31" t="s">
        <v>24</v>
      </c>
      <c r="V4" s="135">
        <f>T4</f>
        <v>81805</v>
      </c>
      <c r="W4" s="33" t="s">
        <v>30</v>
      </c>
      <c r="X4" s="34">
        <f>V4/1000*1.03</f>
        <v>84.259150000000005</v>
      </c>
      <c r="Y4" s="153"/>
    </row>
    <row r="5" spans="1:25" s="3" customFormat="1" ht="30" x14ac:dyDescent="0.3">
      <c r="A5" s="20">
        <v>2</v>
      </c>
      <c r="B5" s="35" t="s">
        <v>61</v>
      </c>
      <c r="C5" s="125"/>
      <c r="D5" s="126"/>
      <c r="E5" s="126"/>
      <c r="F5" s="145">
        <f t="shared" ref="F5:F24" si="0">C5-D5-E5</f>
        <v>0</v>
      </c>
      <c r="G5" s="38"/>
      <c r="H5" s="92"/>
      <c r="I5" s="38"/>
      <c r="J5" s="88"/>
      <c r="K5" s="71"/>
      <c r="L5" s="89"/>
      <c r="M5" s="91"/>
      <c r="N5" s="91"/>
      <c r="O5" s="92"/>
      <c r="P5" s="87"/>
      <c r="Q5" s="92"/>
      <c r="R5" s="87"/>
      <c r="S5" s="88"/>
      <c r="T5" s="90">
        <v>0</v>
      </c>
      <c r="U5" s="38"/>
      <c r="V5" s="137"/>
      <c r="W5" s="38"/>
      <c r="X5" s="88"/>
      <c r="Y5" s="153"/>
    </row>
    <row r="6" spans="1:25" s="3" customFormat="1" ht="30" x14ac:dyDescent="0.3">
      <c r="A6" s="20">
        <v>3</v>
      </c>
      <c r="B6" s="35" t="s">
        <v>46</v>
      </c>
      <c r="C6" s="70">
        <v>840672</v>
      </c>
      <c r="D6" s="70">
        <v>0</v>
      </c>
      <c r="E6" s="144">
        <v>767092</v>
      </c>
      <c r="F6" s="70">
        <f t="shared" si="0"/>
        <v>73580</v>
      </c>
      <c r="G6" s="13" t="s">
        <v>62</v>
      </c>
      <c r="H6" s="13">
        <f>F6*250</f>
        <v>18395000</v>
      </c>
      <c r="I6" s="30" t="s">
        <v>31</v>
      </c>
      <c r="J6" s="14">
        <f>H6/1000000</f>
        <v>18.395</v>
      </c>
      <c r="K6" s="100"/>
      <c r="L6" s="101"/>
      <c r="M6" s="102"/>
      <c r="N6" s="102"/>
      <c r="O6" s="102"/>
      <c r="P6" s="103"/>
      <c r="Q6" s="103"/>
      <c r="R6" s="104"/>
      <c r="S6" s="105"/>
      <c r="T6" s="114">
        <v>73580</v>
      </c>
      <c r="U6" s="13" t="s">
        <v>62</v>
      </c>
      <c r="V6" s="13">
        <f>T6*250</f>
        <v>18395000</v>
      </c>
      <c r="W6" s="30" t="s">
        <v>31</v>
      </c>
      <c r="X6" s="134">
        <f>V6/1000000</f>
        <v>18.395</v>
      </c>
      <c r="Y6" s="153"/>
    </row>
    <row r="7" spans="1:25" s="3" customFormat="1" ht="45" x14ac:dyDescent="0.3">
      <c r="A7" s="20">
        <v>4</v>
      </c>
      <c r="B7" s="35" t="s">
        <v>52</v>
      </c>
      <c r="C7" s="70">
        <v>827586</v>
      </c>
      <c r="D7" s="70">
        <v>32152</v>
      </c>
      <c r="E7" s="70">
        <v>657469</v>
      </c>
      <c r="F7" s="70">
        <f t="shared" si="0"/>
        <v>137965</v>
      </c>
      <c r="G7" s="13" t="s">
        <v>24</v>
      </c>
      <c r="H7" s="13">
        <f>F7</f>
        <v>137965</v>
      </c>
      <c r="I7" s="30" t="s">
        <v>30</v>
      </c>
      <c r="J7" s="48">
        <f>H7/1000</f>
        <v>137.965</v>
      </c>
      <c r="K7" s="100"/>
      <c r="L7" s="101"/>
      <c r="M7" s="102"/>
      <c r="N7" s="102"/>
      <c r="O7" s="102"/>
      <c r="P7" s="103"/>
      <c r="Q7" s="103"/>
      <c r="R7" s="104"/>
      <c r="S7" s="18"/>
      <c r="T7" s="114">
        <v>137965</v>
      </c>
      <c r="U7" s="13" t="s">
        <v>24</v>
      </c>
      <c r="V7" s="136">
        <f>T7</f>
        <v>137965</v>
      </c>
      <c r="W7" s="30" t="s">
        <v>30</v>
      </c>
      <c r="X7" s="16">
        <f>V7/1000</f>
        <v>137.965</v>
      </c>
      <c r="Y7" s="153"/>
    </row>
    <row r="8" spans="1:25" s="3" customFormat="1" ht="30" x14ac:dyDescent="0.3">
      <c r="A8" s="20">
        <v>5</v>
      </c>
      <c r="B8" s="35" t="s">
        <v>53</v>
      </c>
      <c r="C8" s="70">
        <v>991760</v>
      </c>
      <c r="D8" s="70">
        <v>169908</v>
      </c>
      <c r="E8" s="70">
        <v>654836</v>
      </c>
      <c r="F8" s="70">
        <f t="shared" si="0"/>
        <v>167016</v>
      </c>
      <c r="G8" s="15" t="s">
        <v>27</v>
      </c>
      <c r="H8" s="13">
        <f>F8*1000</f>
        <v>167016000</v>
      </c>
      <c r="I8" s="30" t="s">
        <v>31</v>
      </c>
      <c r="J8" s="48">
        <f>H8/1000000</f>
        <v>167.01599999999999</v>
      </c>
      <c r="K8" s="100"/>
      <c r="L8" s="101"/>
      <c r="M8" s="102"/>
      <c r="N8" s="102"/>
      <c r="O8" s="102"/>
      <c r="P8" s="106"/>
      <c r="Q8" s="103"/>
      <c r="R8" s="104"/>
      <c r="S8" s="18"/>
      <c r="T8" s="114">
        <v>167016</v>
      </c>
      <c r="U8" s="15" t="s">
        <v>27</v>
      </c>
      <c r="V8" s="136">
        <f>T8*1000</f>
        <v>167016000</v>
      </c>
      <c r="W8" s="30" t="s">
        <v>31</v>
      </c>
      <c r="X8" s="16">
        <f>V8/1000000</f>
        <v>167.01599999999999</v>
      </c>
      <c r="Y8" s="153"/>
    </row>
    <row r="9" spans="1:25" s="3" customFormat="1" ht="30" x14ac:dyDescent="0.3">
      <c r="A9" s="20">
        <v>6</v>
      </c>
      <c r="B9" s="35" t="s">
        <v>60</v>
      </c>
      <c r="C9" s="70">
        <v>567375</v>
      </c>
      <c r="D9" s="70">
        <v>0</v>
      </c>
      <c r="E9" s="70">
        <v>488311</v>
      </c>
      <c r="F9" s="70">
        <f t="shared" si="0"/>
        <v>79064</v>
      </c>
      <c r="G9" s="15" t="s">
        <v>27</v>
      </c>
      <c r="H9" s="13">
        <f>F9*1000</f>
        <v>79064000</v>
      </c>
      <c r="I9" s="30" t="s">
        <v>31</v>
      </c>
      <c r="J9" s="14">
        <f>H9/1000000</f>
        <v>79.063999999999993</v>
      </c>
      <c r="K9" s="100"/>
      <c r="L9" s="101"/>
      <c r="M9" s="102"/>
      <c r="N9" s="102"/>
      <c r="O9" s="102"/>
      <c r="P9" s="106"/>
      <c r="Q9" s="103"/>
      <c r="R9" s="104"/>
      <c r="S9" s="105"/>
      <c r="T9" s="115">
        <v>79064</v>
      </c>
      <c r="U9" s="15" t="s">
        <v>27</v>
      </c>
      <c r="V9" s="13">
        <f>T9*1000</f>
        <v>79064000</v>
      </c>
      <c r="W9" s="30" t="s">
        <v>31</v>
      </c>
      <c r="X9" s="16">
        <f t="shared" ref="X9:X16" si="1">V9/1000000</f>
        <v>79.063999999999993</v>
      </c>
      <c r="Y9" s="153"/>
    </row>
    <row r="10" spans="1:25" s="3" customFormat="1" ht="30" x14ac:dyDescent="0.3">
      <c r="A10" s="20">
        <v>7</v>
      </c>
      <c r="B10" s="35" t="s">
        <v>47</v>
      </c>
      <c r="C10" s="70">
        <v>555556</v>
      </c>
      <c r="D10" s="70">
        <v>210053</v>
      </c>
      <c r="E10" s="70">
        <v>178342</v>
      </c>
      <c r="F10" s="70">
        <f t="shared" si="0"/>
        <v>167161</v>
      </c>
      <c r="G10" s="15" t="s">
        <v>27</v>
      </c>
      <c r="H10" s="13">
        <f>F10*1000</f>
        <v>167161000</v>
      </c>
      <c r="I10" s="30" t="s">
        <v>31</v>
      </c>
      <c r="J10" s="14">
        <f t="shared" ref="J10:J19" si="2">H10/1000000</f>
        <v>167.161</v>
      </c>
      <c r="K10" s="100"/>
      <c r="L10" s="101"/>
      <c r="M10" s="102"/>
      <c r="N10" s="102"/>
      <c r="O10" s="102"/>
      <c r="P10" s="106"/>
      <c r="Q10" s="103"/>
      <c r="R10" s="104"/>
      <c r="S10" s="18"/>
      <c r="T10" s="114">
        <v>167161</v>
      </c>
      <c r="U10" s="15" t="s">
        <v>27</v>
      </c>
      <c r="V10" s="136">
        <f>T10*1000</f>
        <v>167161000</v>
      </c>
      <c r="W10" s="30" t="s">
        <v>31</v>
      </c>
      <c r="X10" s="16">
        <f t="shared" si="1"/>
        <v>167.161</v>
      </c>
      <c r="Y10" s="153"/>
    </row>
    <row r="11" spans="1:25" s="3" customFormat="1" ht="30" x14ac:dyDescent="0.3">
      <c r="A11" s="20">
        <v>8</v>
      </c>
      <c r="B11" s="35" t="s">
        <v>48</v>
      </c>
      <c r="C11" s="70">
        <v>555556</v>
      </c>
      <c r="D11" s="70">
        <v>5647</v>
      </c>
      <c r="E11" s="70">
        <v>441876</v>
      </c>
      <c r="F11" s="70">
        <f t="shared" si="0"/>
        <v>108033</v>
      </c>
      <c r="G11" s="15" t="s">
        <v>27</v>
      </c>
      <c r="H11" s="13">
        <f>F11*1000</f>
        <v>108033000</v>
      </c>
      <c r="I11" s="30" t="s">
        <v>31</v>
      </c>
      <c r="J11" s="14">
        <f t="shared" si="2"/>
        <v>108.033</v>
      </c>
      <c r="K11" s="100"/>
      <c r="L11" s="101"/>
      <c r="M11" s="102"/>
      <c r="N11" s="102"/>
      <c r="O11" s="102"/>
      <c r="P11" s="106"/>
      <c r="Q11" s="103"/>
      <c r="R11" s="104"/>
      <c r="S11" s="18"/>
      <c r="T11" s="114">
        <v>108033</v>
      </c>
      <c r="U11" s="15" t="s">
        <v>27</v>
      </c>
      <c r="V11" s="136">
        <f>T11*1000</f>
        <v>108033000</v>
      </c>
      <c r="W11" s="30" t="s">
        <v>31</v>
      </c>
      <c r="X11" s="16">
        <f t="shared" si="1"/>
        <v>108.033</v>
      </c>
      <c r="Y11" s="153"/>
    </row>
    <row r="12" spans="1:25" s="3" customFormat="1" ht="30" x14ac:dyDescent="0.3">
      <c r="A12" s="20">
        <v>9</v>
      </c>
      <c r="B12" s="35" t="s">
        <v>49</v>
      </c>
      <c r="C12" s="70">
        <v>534106</v>
      </c>
      <c r="D12" s="70">
        <v>186407</v>
      </c>
      <c r="E12" s="70">
        <v>289174</v>
      </c>
      <c r="F12" s="70">
        <f t="shared" si="0"/>
        <v>58525</v>
      </c>
      <c r="G12" s="15" t="s">
        <v>27</v>
      </c>
      <c r="H12" s="13">
        <f>F12*1000</f>
        <v>58525000</v>
      </c>
      <c r="I12" s="30" t="s">
        <v>31</v>
      </c>
      <c r="J12" s="14">
        <f t="shared" si="2"/>
        <v>58.524999999999999</v>
      </c>
      <c r="K12" s="100"/>
      <c r="L12" s="101"/>
      <c r="M12" s="102"/>
      <c r="N12" s="102"/>
      <c r="O12" s="102"/>
      <c r="P12" s="106"/>
      <c r="Q12" s="103"/>
      <c r="R12" s="104"/>
      <c r="S12" s="18"/>
      <c r="T12" s="114">
        <v>58525</v>
      </c>
      <c r="U12" s="15" t="s">
        <v>27</v>
      </c>
      <c r="V12" s="136">
        <f>T12*1000</f>
        <v>58525000</v>
      </c>
      <c r="W12" s="30" t="s">
        <v>31</v>
      </c>
      <c r="X12" s="16">
        <f t="shared" si="1"/>
        <v>58.524999999999999</v>
      </c>
      <c r="Y12" s="153"/>
    </row>
    <row r="13" spans="1:25" s="3" customFormat="1" ht="30" x14ac:dyDescent="0.3">
      <c r="A13" s="20">
        <v>10</v>
      </c>
      <c r="B13" s="24" t="s">
        <v>12</v>
      </c>
      <c r="C13" s="70">
        <v>1459854</v>
      </c>
      <c r="D13" s="70">
        <v>122113</v>
      </c>
      <c r="E13" s="70">
        <v>1184625</v>
      </c>
      <c r="F13" s="70">
        <f t="shared" si="0"/>
        <v>153116</v>
      </c>
      <c r="G13" s="15" t="s">
        <v>29</v>
      </c>
      <c r="H13" s="13">
        <f>F13*400</f>
        <v>61246400</v>
      </c>
      <c r="I13" s="30" t="s">
        <v>31</v>
      </c>
      <c r="J13" s="14">
        <f t="shared" si="2"/>
        <v>61.246400000000001</v>
      </c>
      <c r="K13" s="100"/>
      <c r="L13" s="107"/>
      <c r="M13" s="102"/>
      <c r="N13" s="102"/>
      <c r="O13" s="102"/>
      <c r="P13" s="106"/>
      <c r="Q13" s="103"/>
      <c r="R13" s="104"/>
      <c r="S13" s="18"/>
      <c r="T13" s="114">
        <v>153116</v>
      </c>
      <c r="U13" s="15" t="s">
        <v>29</v>
      </c>
      <c r="V13" s="136">
        <f>T13*400</f>
        <v>61246400</v>
      </c>
      <c r="W13" s="30" t="s">
        <v>31</v>
      </c>
      <c r="X13" s="16">
        <f t="shared" si="1"/>
        <v>61.246400000000001</v>
      </c>
      <c r="Y13" s="153"/>
    </row>
    <row r="14" spans="1:25" s="3" customFormat="1" ht="30" x14ac:dyDescent="0.3">
      <c r="A14" s="20">
        <v>11</v>
      </c>
      <c r="B14" s="19" t="s">
        <v>20</v>
      </c>
      <c r="C14" s="70">
        <v>1203534</v>
      </c>
      <c r="D14" s="70">
        <v>19393</v>
      </c>
      <c r="E14" s="70">
        <v>890759</v>
      </c>
      <c r="F14" s="70">
        <f t="shared" si="0"/>
        <v>293382</v>
      </c>
      <c r="G14" s="15" t="s">
        <v>29</v>
      </c>
      <c r="H14" s="13">
        <f>F14*400</f>
        <v>117352800</v>
      </c>
      <c r="I14" s="30" t="s">
        <v>31</v>
      </c>
      <c r="J14" s="14">
        <f t="shared" si="2"/>
        <v>117.3528</v>
      </c>
      <c r="K14" s="100"/>
      <c r="L14" s="108"/>
      <c r="M14" s="102"/>
      <c r="N14" s="102"/>
      <c r="O14" s="102"/>
      <c r="P14" s="106"/>
      <c r="Q14" s="103"/>
      <c r="R14" s="104"/>
      <c r="S14" s="18"/>
      <c r="T14" s="114">
        <v>293382</v>
      </c>
      <c r="U14" s="15" t="s">
        <v>29</v>
      </c>
      <c r="V14" s="136">
        <f>T14*400</f>
        <v>117352800</v>
      </c>
      <c r="W14" s="30" t="s">
        <v>31</v>
      </c>
      <c r="X14" s="16">
        <f t="shared" si="1"/>
        <v>117.3528</v>
      </c>
      <c r="Y14" s="153"/>
    </row>
    <row r="15" spans="1:25" s="3" customFormat="1" ht="30" x14ac:dyDescent="0.3">
      <c r="A15" s="20">
        <v>12</v>
      </c>
      <c r="B15" s="35" t="s">
        <v>54</v>
      </c>
      <c r="C15" s="70">
        <v>718097</v>
      </c>
      <c r="D15" s="70">
        <v>43505</v>
      </c>
      <c r="E15" s="70">
        <v>556153</v>
      </c>
      <c r="F15" s="70">
        <f t="shared" si="0"/>
        <v>118439</v>
      </c>
      <c r="G15" s="15" t="s">
        <v>29</v>
      </c>
      <c r="H15" s="13">
        <f>F15*400</f>
        <v>47375600</v>
      </c>
      <c r="I15" s="30" t="s">
        <v>31</v>
      </c>
      <c r="J15" s="14">
        <f t="shared" si="2"/>
        <v>47.375599999999999</v>
      </c>
      <c r="K15" s="100"/>
      <c r="L15" s="101"/>
      <c r="M15" s="102"/>
      <c r="N15" s="102"/>
      <c r="O15" s="102"/>
      <c r="P15" s="106"/>
      <c r="Q15" s="103"/>
      <c r="R15" s="104"/>
      <c r="S15" s="18"/>
      <c r="T15" s="114">
        <v>118439</v>
      </c>
      <c r="U15" s="15" t="s">
        <v>29</v>
      </c>
      <c r="V15" s="136">
        <f>T15*400</f>
        <v>47375600</v>
      </c>
      <c r="W15" s="30" t="s">
        <v>31</v>
      </c>
      <c r="X15" s="16">
        <f t="shared" si="1"/>
        <v>47.375599999999999</v>
      </c>
      <c r="Y15" s="153"/>
    </row>
    <row r="16" spans="1:25" s="3" customFormat="1" ht="30" x14ac:dyDescent="0.3">
      <c r="A16" s="20">
        <v>13</v>
      </c>
      <c r="B16" s="35" t="s">
        <v>50</v>
      </c>
      <c r="C16" s="70">
        <v>831935</v>
      </c>
      <c r="D16" s="70">
        <v>0</v>
      </c>
      <c r="E16" s="127">
        <v>680012</v>
      </c>
      <c r="F16" s="70">
        <f t="shared" si="0"/>
        <v>151923</v>
      </c>
      <c r="G16" s="15" t="s">
        <v>26</v>
      </c>
      <c r="H16" s="13">
        <f>F16*420</f>
        <v>63807660</v>
      </c>
      <c r="I16" s="30" t="s">
        <v>31</v>
      </c>
      <c r="J16" s="14">
        <f t="shared" si="2"/>
        <v>63.807659999999998</v>
      </c>
      <c r="K16" s="100"/>
      <c r="L16" s="101"/>
      <c r="M16" s="102"/>
      <c r="N16" s="102"/>
      <c r="O16" s="102"/>
      <c r="P16" s="106"/>
      <c r="Q16" s="103"/>
      <c r="R16" s="104"/>
      <c r="S16" s="105"/>
      <c r="T16" s="116">
        <v>151923</v>
      </c>
      <c r="U16" s="15" t="s">
        <v>26</v>
      </c>
      <c r="V16" s="13">
        <f>T16*420</f>
        <v>63807660</v>
      </c>
      <c r="W16" s="30" t="s">
        <v>31</v>
      </c>
      <c r="X16" s="16">
        <f t="shared" si="1"/>
        <v>63.807659999999998</v>
      </c>
      <c r="Y16" s="153"/>
    </row>
    <row r="17" spans="1:25" s="3" customFormat="1" ht="30" x14ac:dyDescent="0.3">
      <c r="A17" s="20">
        <v>14</v>
      </c>
      <c r="B17" s="35" t="s">
        <v>55</v>
      </c>
      <c r="C17" s="128"/>
      <c r="D17" s="129"/>
      <c r="E17" s="129"/>
      <c r="F17" s="145">
        <f t="shared" si="0"/>
        <v>0</v>
      </c>
      <c r="G17" s="38"/>
      <c r="H17" s="87"/>
      <c r="I17" s="87"/>
      <c r="J17" s="117">
        <f t="shared" si="2"/>
        <v>0</v>
      </c>
      <c r="K17" s="71"/>
      <c r="L17" s="89"/>
      <c r="M17" s="86"/>
      <c r="N17" s="86"/>
      <c r="O17" s="87"/>
      <c r="P17" s="87"/>
      <c r="Q17" s="87"/>
      <c r="R17" s="87"/>
      <c r="S17" s="88"/>
      <c r="T17" s="90">
        <v>0</v>
      </c>
      <c r="U17" s="38"/>
      <c r="V17" s="137"/>
      <c r="W17" s="87"/>
      <c r="X17" s="88"/>
      <c r="Y17" s="153"/>
    </row>
    <row r="18" spans="1:25" s="3" customFormat="1" ht="30" x14ac:dyDescent="0.3">
      <c r="A18" s="20">
        <v>15</v>
      </c>
      <c r="B18" s="35" t="s">
        <v>21</v>
      </c>
      <c r="C18" s="70">
        <v>1616628</v>
      </c>
      <c r="D18" s="70">
        <v>664272</v>
      </c>
      <c r="E18" s="130">
        <v>931755</v>
      </c>
      <c r="F18" s="70">
        <f t="shared" si="0"/>
        <v>20601</v>
      </c>
      <c r="G18" s="15" t="s">
        <v>32</v>
      </c>
      <c r="H18" s="13">
        <f>F18*140</f>
        <v>2884140</v>
      </c>
      <c r="I18" s="30" t="s">
        <v>31</v>
      </c>
      <c r="J18" s="14">
        <f t="shared" si="2"/>
        <v>2.8841399999999999</v>
      </c>
      <c r="K18" s="100"/>
      <c r="L18" s="101"/>
      <c r="M18" s="102"/>
      <c r="N18" s="102"/>
      <c r="O18" s="102"/>
      <c r="P18" s="106"/>
      <c r="Q18" s="103"/>
      <c r="R18" s="104"/>
      <c r="S18" s="18"/>
      <c r="T18" s="114">
        <v>20601</v>
      </c>
      <c r="U18" s="15" t="s">
        <v>32</v>
      </c>
      <c r="V18" s="136">
        <f>T18*140</f>
        <v>2884140</v>
      </c>
      <c r="W18" s="30" t="s">
        <v>31</v>
      </c>
      <c r="X18" s="16">
        <f>V18/1000000</f>
        <v>2.8841399999999999</v>
      </c>
      <c r="Y18" s="153"/>
    </row>
    <row r="19" spans="1:25" s="3" customFormat="1" ht="30" x14ac:dyDescent="0.3">
      <c r="A19" s="20">
        <v>16</v>
      </c>
      <c r="B19" s="19" t="s">
        <v>22</v>
      </c>
      <c r="C19" s="70">
        <v>652790</v>
      </c>
      <c r="D19" s="70">
        <v>0</v>
      </c>
      <c r="E19" s="130">
        <v>543936</v>
      </c>
      <c r="F19" s="70">
        <f t="shared" si="0"/>
        <v>108854</v>
      </c>
      <c r="G19" s="15" t="s">
        <v>63</v>
      </c>
      <c r="H19" s="13">
        <f>F19*475</f>
        <v>51705650</v>
      </c>
      <c r="I19" s="30" t="s">
        <v>31</v>
      </c>
      <c r="J19" s="14">
        <f t="shared" si="2"/>
        <v>51.705649999999999</v>
      </c>
      <c r="K19" s="100"/>
      <c r="L19" s="108"/>
      <c r="M19" s="102"/>
      <c r="N19" s="102"/>
      <c r="O19" s="102"/>
      <c r="P19" s="106"/>
      <c r="Q19" s="103"/>
      <c r="R19" s="104"/>
      <c r="S19" s="105"/>
      <c r="T19" s="116">
        <v>108854</v>
      </c>
      <c r="U19" s="15" t="s">
        <v>63</v>
      </c>
      <c r="V19" s="13">
        <f>T19*475</f>
        <v>51705650</v>
      </c>
      <c r="W19" s="30" t="s">
        <v>31</v>
      </c>
      <c r="X19" s="16">
        <f t="shared" ref="X19:X24" si="3">V19/1000000</f>
        <v>51.705649999999999</v>
      </c>
      <c r="Y19" s="153"/>
    </row>
    <row r="20" spans="1:25" s="3" customFormat="1" ht="30" x14ac:dyDescent="0.3">
      <c r="A20" s="20">
        <v>17</v>
      </c>
      <c r="B20" s="35" t="s">
        <v>56</v>
      </c>
      <c r="C20" s="70">
        <v>722270</v>
      </c>
      <c r="D20" s="70">
        <v>323286</v>
      </c>
      <c r="E20" s="130">
        <v>283240</v>
      </c>
      <c r="F20" s="70">
        <f t="shared" si="0"/>
        <v>115744</v>
      </c>
      <c r="G20" s="13" t="s">
        <v>24</v>
      </c>
      <c r="H20" s="13">
        <f>F20</f>
        <v>115744</v>
      </c>
      <c r="I20" s="30" t="s">
        <v>30</v>
      </c>
      <c r="J20" s="48">
        <f>H20/1000*0.92</f>
        <v>106.48448</v>
      </c>
      <c r="K20" s="100"/>
      <c r="L20" s="101"/>
      <c r="M20" s="102"/>
      <c r="N20" s="102"/>
      <c r="O20" s="102"/>
      <c r="P20" s="103"/>
      <c r="Q20" s="103"/>
      <c r="R20" s="104"/>
      <c r="S20" s="18"/>
      <c r="T20" s="114">
        <v>115744</v>
      </c>
      <c r="U20" s="13" t="s">
        <v>24</v>
      </c>
      <c r="V20" s="136">
        <f>T20</f>
        <v>115744</v>
      </c>
      <c r="W20" s="30" t="s">
        <v>30</v>
      </c>
      <c r="X20" s="16">
        <f>V20/1000*0.92</f>
        <v>106.48448</v>
      </c>
      <c r="Y20" s="153"/>
    </row>
    <row r="21" spans="1:25" s="3" customFormat="1" ht="30" x14ac:dyDescent="0.3">
      <c r="A21" s="20">
        <v>18</v>
      </c>
      <c r="B21" s="35" t="s">
        <v>57</v>
      </c>
      <c r="C21" s="70">
        <v>851993</v>
      </c>
      <c r="D21" s="70">
        <v>0</v>
      </c>
      <c r="E21" s="130">
        <v>720317</v>
      </c>
      <c r="F21" s="70">
        <f t="shared" si="0"/>
        <v>131676</v>
      </c>
      <c r="G21" s="15" t="s">
        <v>64</v>
      </c>
      <c r="H21" s="13">
        <f>F21*200</f>
        <v>26335200</v>
      </c>
      <c r="I21" s="30" t="s">
        <v>31</v>
      </c>
      <c r="J21" s="14">
        <f>H21/1000000</f>
        <v>26.3352</v>
      </c>
      <c r="K21" s="100"/>
      <c r="L21" s="101"/>
      <c r="M21" s="102"/>
      <c r="N21" s="102"/>
      <c r="O21" s="102"/>
      <c r="P21" s="106"/>
      <c r="Q21" s="103"/>
      <c r="R21" s="104"/>
      <c r="S21" s="105"/>
      <c r="T21" s="116">
        <v>131676</v>
      </c>
      <c r="U21" s="15" t="s">
        <v>64</v>
      </c>
      <c r="V21" s="13">
        <f>T21*200</f>
        <v>26335200</v>
      </c>
      <c r="W21" s="30" t="s">
        <v>31</v>
      </c>
      <c r="X21" s="16">
        <f t="shared" si="3"/>
        <v>26.3352</v>
      </c>
      <c r="Y21" s="153"/>
    </row>
    <row r="22" spans="1:25" s="3" customFormat="1" ht="30" x14ac:dyDescent="0.3">
      <c r="A22" s="20">
        <v>19</v>
      </c>
      <c r="B22" s="35" t="s">
        <v>58</v>
      </c>
      <c r="C22" s="70">
        <v>1486736</v>
      </c>
      <c r="D22" s="70">
        <v>1270037</v>
      </c>
      <c r="E22" s="130">
        <v>34461</v>
      </c>
      <c r="F22" s="70">
        <f t="shared" si="0"/>
        <v>182238</v>
      </c>
      <c r="G22" s="15" t="s">
        <v>51</v>
      </c>
      <c r="H22" s="13">
        <f>F22*100</f>
        <v>18223800</v>
      </c>
      <c r="I22" s="30" t="s">
        <v>31</v>
      </c>
      <c r="J22" s="14">
        <f t="shared" ref="J22:J24" si="4">H22/1000000</f>
        <v>18.223800000000001</v>
      </c>
      <c r="K22" s="100"/>
      <c r="L22" s="101"/>
      <c r="M22" s="102"/>
      <c r="N22" s="102"/>
      <c r="O22" s="102"/>
      <c r="P22" s="106"/>
      <c r="Q22" s="103"/>
      <c r="R22" s="104"/>
      <c r="S22" s="18"/>
      <c r="T22" s="114">
        <v>182238</v>
      </c>
      <c r="U22" s="15" t="s">
        <v>51</v>
      </c>
      <c r="V22" s="136">
        <f>T22*100</f>
        <v>18223800</v>
      </c>
      <c r="W22" s="30" t="s">
        <v>31</v>
      </c>
      <c r="X22" s="16">
        <f t="shared" si="3"/>
        <v>18.223800000000001</v>
      </c>
      <c r="Y22" s="153"/>
    </row>
    <row r="23" spans="1:25" s="3" customFormat="1" ht="30" x14ac:dyDescent="0.3">
      <c r="A23" s="20">
        <v>20</v>
      </c>
      <c r="B23" s="35" t="s">
        <v>59</v>
      </c>
      <c r="C23" s="70">
        <v>629988</v>
      </c>
      <c r="D23" s="70">
        <v>43727</v>
      </c>
      <c r="E23" s="130">
        <v>450942</v>
      </c>
      <c r="F23" s="70">
        <f t="shared" si="0"/>
        <v>135319</v>
      </c>
      <c r="G23" s="15" t="s">
        <v>29</v>
      </c>
      <c r="H23" s="13">
        <f>F23*400</f>
        <v>54127600</v>
      </c>
      <c r="I23" s="30" t="s">
        <v>31</v>
      </c>
      <c r="J23" s="14">
        <f t="shared" si="4"/>
        <v>54.127600000000001</v>
      </c>
      <c r="K23" s="100"/>
      <c r="L23" s="101"/>
      <c r="M23" s="102"/>
      <c r="N23" s="102"/>
      <c r="O23" s="102"/>
      <c r="P23" s="106"/>
      <c r="Q23" s="103"/>
      <c r="R23" s="104"/>
      <c r="S23" s="18"/>
      <c r="T23" s="114">
        <v>135319</v>
      </c>
      <c r="U23" s="15" t="s">
        <v>29</v>
      </c>
      <c r="V23" s="136">
        <f>T23*400</f>
        <v>54127600</v>
      </c>
      <c r="W23" s="30" t="s">
        <v>31</v>
      </c>
      <c r="X23" s="16">
        <f t="shared" si="3"/>
        <v>54.127600000000001</v>
      </c>
      <c r="Y23" s="153"/>
    </row>
    <row r="24" spans="1:25" s="3" customFormat="1" ht="30.75" thickBot="1" x14ac:dyDescent="0.35">
      <c r="A24" s="17">
        <v>21</v>
      </c>
      <c r="B24" s="68" t="s">
        <v>23</v>
      </c>
      <c r="C24" s="130">
        <v>741120</v>
      </c>
      <c r="D24" s="130">
        <v>0</v>
      </c>
      <c r="E24" s="130">
        <v>578112</v>
      </c>
      <c r="F24" s="130">
        <f t="shared" si="0"/>
        <v>163008</v>
      </c>
      <c r="G24" s="15" t="s">
        <v>28</v>
      </c>
      <c r="H24" s="15">
        <f>F24*500</f>
        <v>81504000</v>
      </c>
      <c r="I24" s="146" t="s">
        <v>31</v>
      </c>
      <c r="J24" s="16">
        <f t="shared" si="4"/>
        <v>81.504000000000005</v>
      </c>
      <c r="K24" s="109"/>
      <c r="L24" s="110"/>
      <c r="M24" s="111"/>
      <c r="N24" s="111"/>
      <c r="O24" s="111"/>
      <c r="P24" s="106"/>
      <c r="Q24" s="106"/>
      <c r="R24" s="112"/>
      <c r="S24" s="113"/>
      <c r="T24" s="120">
        <v>163008</v>
      </c>
      <c r="U24" s="27" t="s">
        <v>28</v>
      </c>
      <c r="V24" s="15">
        <f>T24*500</f>
        <v>81504000</v>
      </c>
      <c r="W24" s="50" t="s">
        <v>31</v>
      </c>
      <c r="X24" s="16">
        <f t="shared" si="3"/>
        <v>81.504000000000005</v>
      </c>
      <c r="Y24" s="153"/>
    </row>
    <row r="25" spans="1:25" s="69" customFormat="1" ht="30" x14ac:dyDescent="0.3">
      <c r="A25" s="72"/>
      <c r="B25" s="73"/>
      <c r="C25" s="74"/>
      <c r="D25" s="74"/>
      <c r="E25" s="74"/>
      <c r="F25" s="75"/>
      <c r="G25" s="75"/>
      <c r="H25" s="75"/>
      <c r="I25" s="76"/>
      <c r="J25" s="77"/>
      <c r="K25" s="46">
        <v>1</v>
      </c>
      <c r="L25" s="119" t="s">
        <v>11</v>
      </c>
      <c r="M25" s="124">
        <v>5044501</v>
      </c>
      <c r="N25" s="124">
        <v>949426</v>
      </c>
      <c r="O25" s="32">
        <f>M25-N25</f>
        <v>4095075</v>
      </c>
      <c r="P25" s="32" t="s">
        <v>24</v>
      </c>
      <c r="Q25" s="32">
        <f>O25</f>
        <v>4095075</v>
      </c>
      <c r="R25" s="33" t="s">
        <v>30</v>
      </c>
      <c r="S25" s="34">
        <f>Q25/1000*1.03</f>
        <v>4217.9272499999997</v>
      </c>
      <c r="T25" s="156">
        <f>O25-[1]voorraadstaat_2018_bijlage_ix__!$AB$702-302473</f>
        <v>3378847</v>
      </c>
      <c r="U25" s="32" t="s">
        <v>24</v>
      </c>
      <c r="V25" s="32">
        <f>T25</f>
        <v>3378847</v>
      </c>
      <c r="W25" s="33" t="s">
        <v>30</v>
      </c>
      <c r="X25" s="133">
        <f>V25/1000*1.03</f>
        <v>3480.2124100000001</v>
      </c>
    </row>
    <row r="26" spans="1:25" s="69" customFormat="1" ht="30" x14ac:dyDescent="0.3">
      <c r="A26" s="78"/>
      <c r="B26" s="79"/>
      <c r="C26" s="36"/>
      <c r="D26" s="36"/>
      <c r="E26" s="36"/>
      <c r="F26" s="41"/>
      <c r="G26" s="41"/>
      <c r="H26" s="41"/>
      <c r="I26" s="37"/>
      <c r="J26" s="42"/>
      <c r="K26" s="118">
        <v>2</v>
      </c>
      <c r="L26" s="121" t="s">
        <v>61</v>
      </c>
      <c r="M26" s="132">
        <v>1670565</v>
      </c>
      <c r="N26" s="132">
        <v>756611</v>
      </c>
      <c r="O26" s="13">
        <f t="shared" ref="O26:O46" si="5">M26-N26</f>
        <v>913954</v>
      </c>
      <c r="P26" s="13" t="s">
        <v>25</v>
      </c>
      <c r="Q26" s="13">
        <f>O26*125</f>
        <v>114244250</v>
      </c>
      <c r="R26" s="30" t="s">
        <v>31</v>
      </c>
      <c r="S26" s="14">
        <f>Q26/1000000</f>
        <v>114.24424999999999</v>
      </c>
      <c r="T26" s="116">
        <f>O26-[1]voorraadstaat_2018_bijlage_ix__!$AF$702-112456</f>
        <v>556054</v>
      </c>
      <c r="U26" s="13" t="s">
        <v>25</v>
      </c>
      <c r="V26" s="13">
        <f>T26*125</f>
        <v>69506750</v>
      </c>
      <c r="W26" s="30" t="s">
        <v>31</v>
      </c>
      <c r="X26" s="134">
        <f>V26/1000000</f>
        <v>69.506749999999997</v>
      </c>
    </row>
    <row r="27" spans="1:25" s="69" customFormat="1" ht="27" customHeight="1" x14ac:dyDescent="0.3">
      <c r="A27" s="78"/>
      <c r="B27" s="79"/>
      <c r="C27" s="36"/>
      <c r="D27" s="36"/>
      <c r="E27" s="36"/>
      <c r="F27" s="41"/>
      <c r="G27" s="41"/>
      <c r="H27" s="41"/>
      <c r="I27" s="37"/>
      <c r="J27" s="42"/>
      <c r="K27" s="118">
        <v>3</v>
      </c>
      <c r="L27" s="35" t="s">
        <v>91</v>
      </c>
      <c r="M27" s="132">
        <v>937787</v>
      </c>
      <c r="N27" s="132">
        <v>363449</v>
      </c>
      <c r="O27" s="13">
        <f t="shared" si="5"/>
        <v>574338</v>
      </c>
      <c r="P27" s="13" t="s">
        <v>62</v>
      </c>
      <c r="Q27" s="13">
        <f>O27*250</f>
        <v>143584500</v>
      </c>
      <c r="R27" s="30" t="s">
        <v>31</v>
      </c>
      <c r="S27" s="14">
        <f>Q27/1000000</f>
        <v>143.58449999999999</v>
      </c>
      <c r="T27" s="116">
        <f>O27-[1]voorraadstaat_2018_bijlage_ix__!$AJ$702-68416</f>
        <v>397961</v>
      </c>
      <c r="U27" s="13" t="s">
        <v>62</v>
      </c>
      <c r="V27" s="13">
        <f>T27*250</f>
        <v>99490250</v>
      </c>
      <c r="W27" s="30" t="s">
        <v>31</v>
      </c>
      <c r="X27" s="134">
        <f t="shared" ref="X27:X39" si="6">V27/1000000</f>
        <v>99.490250000000003</v>
      </c>
    </row>
    <row r="28" spans="1:25" s="69" customFormat="1" ht="30" x14ac:dyDescent="0.3">
      <c r="A28" s="78"/>
      <c r="B28" s="79"/>
      <c r="C28" s="36"/>
      <c r="D28" s="36"/>
      <c r="E28" s="36"/>
      <c r="F28" s="41"/>
      <c r="G28" s="41"/>
      <c r="H28" s="41"/>
      <c r="I28" s="37"/>
      <c r="J28" s="42"/>
      <c r="K28" s="118">
        <v>4</v>
      </c>
      <c r="L28" s="35" t="s">
        <v>53</v>
      </c>
      <c r="M28" s="132">
        <v>983699</v>
      </c>
      <c r="N28" s="132">
        <v>573856</v>
      </c>
      <c r="O28" s="13">
        <f t="shared" si="5"/>
        <v>409843</v>
      </c>
      <c r="P28" s="13" t="s">
        <v>27</v>
      </c>
      <c r="Q28" s="13">
        <f>O28*1000</f>
        <v>409843000</v>
      </c>
      <c r="R28" s="30" t="s">
        <v>31</v>
      </c>
      <c r="S28" s="14">
        <f>Q28/1000000</f>
        <v>409.84300000000002</v>
      </c>
      <c r="T28" s="116">
        <f>O28-[1]voorraadstaat_2018_bijlage_ix__!$AN$702-80177</f>
        <v>194781</v>
      </c>
      <c r="U28" s="13" t="s">
        <v>27</v>
      </c>
      <c r="V28" s="13">
        <f>T28*1000</f>
        <v>194781000</v>
      </c>
      <c r="W28" s="30" t="s">
        <v>31</v>
      </c>
      <c r="X28" s="134">
        <f t="shared" si="6"/>
        <v>194.78100000000001</v>
      </c>
    </row>
    <row r="29" spans="1:25" s="69" customFormat="1" ht="30" x14ac:dyDescent="0.3">
      <c r="A29" s="78"/>
      <c r="B29" s="79"/>
      <c r="C29" s="36"/>
      <c r="D29" s="36"/>
      <c r="E29" s="36"/>
      <c r="F29" s="41"/>
      <c r="G29" s="41"/>
      <c r="H29" s="41"/>
      <c r="I29" s="37"/>
      <c r="J29" s="42"/>
      <c r="K29" s="118">
        <v>5</v>
      </c>
      <c r="L29" s="35" t="s">
        <v>90</v>
      </c>
      <c r="M29" s="132">
        <v>596200</v>
      </c>
      <c r="N29" s="132">
        <v>0</v>
      </c>
      <c r="O29" s="13">
        <f t="shared" si="5"/>
        <v>596200</v>
      </c>
      <c r="P29" s="13" t="s">
        <v>62</v>
      </c>
      <c r="Q29" s="13">
        <f>O29*250</f>
        <v>149050000</v>
      </c>
      <c r="R29" s="30" t="s">
        <v>31</v>
      </c>
      <c r="S29" s="14">
        <f t="shared" ref="S29:S31" si="7">Q29/1000000</f>
        <v>149.05000000000001</v>
      </c>
      <c r="T29" s="116">
        <f>O29-[1]voorraadstaat_2018_bijlage_ix__!$AR$702-42784</f>
        <v>423691</v>
      </c>
      <c r="U29" s="13" t="s">
        <v>62</v>
      </c>
      <c r="V29" s="13">
        <f>T29*250</f>
        <v>105922750</v>
      </c>
      <c r="W29" s="30" t="s">
        <v>31</v>
      </c>
      <c r="X29" s="134">
        <f t="shared" si="6"/>
        <v>105.92274999999999</v>
      </c>
    </row>
    <row r="30" spans="1:25" s="69" customFormat="1" ht="30" x14ac:dyDescent="0.3">
      <c r="A30" s="78"/>
      <c r="B30" s="79"/>
      <c r="C30" s="36"/>
      <c r="D30" s="36"/>
      <c r="E30" s="36"/>
      <c r="F30" s="41"/>
      <c r="G30" s="41"/>
      <c r="H30" s="41"/>
      <c r="I30" s="37"/>
      <c r="J30" s="42"/>
      <c r="K30" s="118">
        <v>6</v>
      </c>
      <c r="L30" s="35" t="s">
        <v>89</v>
      </c>
      <c r="M30" s="132">
        <v>608916</v>
      </c>
      <c r="N30" s="132">
        <v>0</v>
      </c>
      <c r="O30" s="13">
        <f t="shared" si="5"/>
        <v>608916</v>
      </c>
      <c r="P30" s="13" t="s">
        <v>27</v>
      </c>
      <c r="Q30" s="13">
        <f t="shared" ref="Q30:Q31" si="8">O30*1000</f>
        <v>608916000</v>
      </c>
      <c r="R30" s="30" t="s">
        <v>31</v>
      </c>
      <c r="S30" s="14">
        <f t="shared" si="7"/>
        <v>608.91600000000005</v>
      </c>
      <c r="T30" s="116">
        <f>O30-[1]voorraadstaat_2018_bijlage_ix__!$AV$702-48712</f>
        <v>353191</v>
      </c>
      <c r="U30" s="13" t="s">
        <v>27</v>
      </c>
      <c r="V30" s="13">
        <f>T30*1000</f>
        <v>353191000</v>
      </c>
      <c r="W30" s="30" t="s">
        <v>31</v>
      </c>
      <c r="X30" s="134">
        <f t="shared" si="6"/>
        <v>353.19099999999997</v>
      </c>
    </row>
    <row r="31" spans="1:25" s="69" customFormat="1" ht="30" x14ac:dyDescent="0.3">
      <c r="A31" s="78"/>
      <c r="B31" s="79"/>
      <c r="C31" s="36"/>
      <c r="D31" s="36"/>
      <c r="E31" s="36"/>
      <c r="F31" s="41"/>
      <c r="G31" s="41"/>
      <c r="H31" s="41"/>
      <c r="I31" s="37"/>
      <c r="J31" s="42"/>
      <c r="K31" s="118">
        <v>7</v>
      </c>
      <c r="L31" s="35" t="s">
        <v>88</v>
      </c>
      <c r="M31" s="132">
        <v>866551</v>
      </c>
      <c r="N31" s="132">
        <v>0</v>
      </c>
      <c r="O31" s="13">
        <f t="shared" si="5"/>
        <v>866551</v>
      </c>
      <c r="P31" s="13" t="s">
        <v>27</v>
      </c>
      <c r="Q31" s="13">
        <f t="shared" si="8"/>
        <v>866551000</v>
      </c>
      <c r="R31" s="30" t="s">
        <v>31</v>
      </c>
      <c r="S31" s="14">
        <f t="shared" si="7"/>
        <v>866.55100000000004</v>
      </c>
      <c r="T31" s="116">
        <f>O31-[1]voorraadstaat_2018_bijlage_ix__!$AZ$702-65450</f>
        <v>617524</v>
      </c>
      <c r="U31" s="13" t="s">
        <v>27</v>
      </c>
      <c r="V31" s="13">
        <f>T31*1000</f>
        <v>617524000</v>
      </c>
      <c r="W31" s="30" t="s">
        <v>31</v>
      </c>
      <c r="X31" s="134">
        <f t="shared" si="6"/>
        <v>617.524</v>
      </c>
    </row>
    <row r="32" spans="1:25" s="69" customFormat="1" ht="30" x14ac:dyDescent="0.3">
      <c r="A32" s="78"/>
      <c r="B32" s="79"/>
      <c r="C32" s="36"/>
      <c r="D32" s="36"/>
      <c r="E32" s="36"/>
      <c r="F32" s="41"/>
      <c r="G32" s="41"/>
      <c r="H32" s="41"/>
      <c r="I32" s="37"/>
      <c r="J32" s="42"/>
      <c r="K32" s="118">
        <v>8</v>
      </c>
      <c r="L32" s="35" t="s">
        <v>49</v>
      </c>
      <c r="M32" s="132">
        <v>931560</v>
      </c>
      <c r="N32" s="132">
        <v>629189</v>
      </c>
      <c r="O32" s="13">
        <f t="shared" si="5"/>
        <v>302371</v>
      </c>
      <c r="P32" s="13" t="s">
        <v>27</v>
      </c>
      <c r="Q32" s="13">
        <f>O32*1000</f>
        <v>302371000</v>
      </c>
      <c r="R32" s="30" t="s">
        <v>31</v>
      </c>
      <c r="S32" s="14">
        <f>Q32/1000000</f>
        <v>302.37099999999998</v>
      </c>
      <c r="T32" s="116">
        <f>O32-[1]voorraadstaat_2018_bijlage_ix__!$BD$702-75591</f>
        <v>76318</v>
      </c>
      <c r="U32" s="13" t="s">
        <v>27</v>
      </c>
      <c r="V32" s="13">
        <f>T32*1000</f>
        <v>76318000</v>
      </c>
      <c r="W32" s="30" t="s">
        <v>31</v>
      </c>
      <c r="X32" s="134">
        <f t="shared" si="6"/>
        <v>76.317999999999998</v>
      </c>
    </row>
    <row r="33" spans="1:24" s="69" customFormat="1" ht="30" x14ac:dyDescent="0.3">
      <c r="A33" s="78"/>
      <c r="B33" s="79"/>
      <c r="C33" s="36"/>
      <c r="D33" s="36"/>
      <c r="E33" s="36"/>
      <c r="F33" s="41"/>
      <c r="G33" s="41"/>
      <c r="H33" s="41"/>
      <c r="I33" s="37"/>
      <c r="J33" s="42"/>
      <c r="K33" s="118">
        <v>9</v>
      </c>
      <c r="L33" s="122" t="s">
        <v>12</v>
      </c>
      <c r="M33" s="132">
        <v>1242432</v>
      </c>
      <c r="N33" s="132">
        <v>0</v>
      </c>
      <c r="O33" s="13">
        <f t="shared" si="5"/>
        <v>1242432</v>
      </c>
      <c r="P33" s="13" t="s">
        <v>29</v>
      </c>
      <c r="Q33" s="13">
        <f>O33*400</f>
        <v>496972800</v>
      </c>
      <c r="R33" s="30" t="s">
        <v>31</v>
      </c>
      <c r="S33" s="14">
        <f t="shared" ref="S33:S34" si="9">Q33/1000000</f>
        <v>496.97280000000001</v>
      </c>
      <c r="T33" s="116">
        <f>O33-[1]voorraadstaat_2018_bijlage_ix__!$BH$702-90378</f>
        <v>930111</v>
      </c>
      <c r="U33" s="13" t="s">
        <v>29</v>
      </c>
      <c r="V33" s="13">
        <f>T33*400</f>
        <v>372044400</v>
      </c>
      <c r="W33" s="30" t="s">
        <v>31</v>
      </c>
      <c r="X33" s="134">
        <f t="shared" si="6"/>
        <v>372.0444</v>
      </c>
    </row>
    <row r="34" spans="1:24" s="69" customFormat="1" ht="30" x14ac:dyDescent="0.3">
      <c r="A34" s="78"/>
      <c r="B34" s="79"/>
      <c r="C34" s="36"/>
      <c r="D34" s="36"/>
      <c r="E34" s="36"/>
      <c r="F34" s="41"/>
      <c r="G34" s="41"/>
      <c r="H34" s="41"/>
      <c r="I34" s="37"/>
      <c r="J34" s="42"/>
      <c r="K34" s="118">
        <v>10</v>
      </c>
      <c r="L34" s="121" t="s">
        <v>20</v>
      </c>
      <c r="M34" s="132">
        <v>1050767</v>
      </c>
      <c r="N34" s="132">
        <v>0</v>
      </c>
      <c r="O34" s="13">
        <f t="shared" si="5"/>
        <v>1050767</v>
      </c>
      <c r="P34" s="13" t="s">
        <v>29</v>
      </c>
      <c r="Q34" s="13">
        <f>O34*400</f>
        <v>420306800</v>
      </c>
      <c r="R34" s="30" t="s">
        <v>31</v>
      </c>
      <c r="S34" s="14">
        <f t="shared" si="9"/>
        <v>420.30680000000001</v>
      </c>
      <c r="T34" s="116">
        <f>O34-[1]voorraadstaat_2018_bijlage_ix__!$BL$702-71866</f>
        <v>708237</v>
      </c>
      <c r="U34" s="13" t="s">
        <v>29</v>
      </c>
      <c r="V34" s="13">
        <f>T34*400</f>
        <v>283294800</v>
      </c>
      <c r="W34" s="30" t="s">
        <v>31</v>
      </c>
      <c r="X34" s="134">
        <f t="shared" si="6"/>
        <v>283.29480000000001</v>
      </c>
    </row>
    <row r="35" spans="1:24" s="69" customFormat="1" ht="30" x14ac:dyDescent="0.3">
      <c r="A35" s="78"/>
      <c r="B35" s="79"/>
      <c r="C35" s="36"/>
      <c r="D35" s="36"/>
      <c r="E35" s="36"/>
      <c r="F35" s="41"/>
      <c r="G35" s="41"/>
      <c r="H35" s="41"/>
      <c r="I35" s="37"/>
      <c r="J35" s="42"/>
      <c r="K35" s="118">
        <v>11</v>
      </c>
      <c r="L35" s="35" t="s">
        <v>54</v>
      </c>
      <c r="M35" s="132">
        <v>1005501</v>
      </c>
      <c r="N35" s="132">
        <v>665060</v>
      </c>
      <c r="O35" s="13">
        <f t="shared" si="5"/>
        <v>340441</v>
      </c>
      <c r="P35" s="13" t="s">
        <v>29</v>
      </c>
      <c r="Q35" s="13">
        <f>O35*400</f>
        <v>136176400</v>
      </c>
      <c r="R35" s="30" t="s">
        <v>31</v>
      </c>
      <c r="S35" s="14">
        <f>Q35/1000000</f>
        <v>136.1764</v>
      </c>
      <c r="T35" s="116">
        <f>O35-[1]voorraadstaat_2018_bijlage_ix__!$BP$702-82672</f>
        <v>79555</v>
      </c>
      <c r="U35" s="13" t="s">
        <v>29</v>
      </c>
      <c r="V35" s="13">
        <f>T35*400</f>
        <v>31822000</v>
      </c>
      <c r="W35" s="30" t="s">
        <v>31</v>
      </c>
      <c r="X35" s="134">
        <f t="shared" si="6"/>
        <v>31.821999999999999</v>
      </c>
    </row>
    <row r="36" spans="1:24" s="69" customFormat="1" ht="30" x14ac:dyDescent="0.3">
      <c r="A36" s="78"/>
      <c r="B36" s="79"/>
      <c r="C36" s="36"/>
      <c r="D36" s="36"/>
      <c r="E36" s="36"/>
      <c r="F36" s="41"/>
      <c r="G36" s="41"/>
      <c r="H36" s="41"/>
      <c r="I36" s="37"/>
      <c r="J36" s="42"/>
      <c r="K36" s="118">
        <v>12</v>
      </c>
      <c r="L36" s="35" t="s">
        <v>87</v>
      </c>
      <c r="M36" s="132">
        <v>928474</v>
      </c>
      <c r="N36" s="132">
        <v>545513</v>
      </c>
      <c r="O36" s="13">
        <f t="shared" si="5"/>
        <v>382961</v>
      </c>
      <c r="P36" s="13" t="s">
        <v>29</v>
      </c>
      <c r="Q36" s="13">
        <f>O36*400</f>
        <v>153184400</v>
      </c>
      <c r="R36" s="30" t="s">
        <v>31</v>
      </c>
      <c r="S36" s="14">
        <f>Q36/1000000</f>
        <v>153.18440000000001</v>
      </c>
      <c r="T36" s="116">
        <f>O36-[1]voorraadstaat_2018_bijlage_ix__!$BT$702-64440</f>
        <v>234748</v>
      </c>
      <c r="U36" s="13" t="s">
        <v>29</v>
      </c>
      <c r="V36" s="13">
        <f>T36*400</f>
        <v>93899200</v>
      </c>
      <c r="W36" s="30" t="s">
        <v>31</v>
      </c>
      <c r="X36" s="134">
        <f t="shared" si="6"/>
        <v>93.899199999999993</v>
      </c>
    </row>
    <row r="37" spans="1:24" s="69" customFormat="1" ht="30" x14ac:dyDescent="0.3">
      <c r="A37" s="78"/>
      <c r="B37" s="79"/>
      <c r="C37" s="36"/>
      <c r="D37" s="36"/>
      <c r="E37" s="36"/>
      <c r="F37" s="41"/>
      <c r="G37" s="41"/>
      <c r="H37" s="41"/>
      <c r="I37" s="37"/>
      <c r="J37" s="42"/>
      <c r="K37" s="118">
        <v>13</v>
      </c>
      <c r="L37" s="143" t="s">
        <v>95</v>
      </c>
      <c r="M37" s="132">
        <v>636740</v>
      </c>
      <c r="N37" s="132">
        <v>0</v>
      </c>
      <c r="O37" s="13">
        <f t="shared" si="5"/>
        <v>636740</v>
      </c>
      <c r="P37" s="13" t="s">
        <v>92</v>
      </c>
      <c r="Q37" s="13">
        <f>O37*380</f>
        <v>241961200</v>
      </c>
      <c r="R37" s="30" t="s">
        <v>31</v>
      </c>
      <c r="S37" s="14">
        <f>Q37/1000000</f>
        <v>241.96119999999999</v>
      </c>
      <c r="T37" s="116">
        <f>O37-[1]voorraadstaat_2018_bijlage_ix__!$BX$702-47118</f>
        <v>508579</v>
      </c>
      <c r="U37" s="13" t="s">
        <v>92</v>
      </c>
      <c r="V37" s="13">
        <f>T37*380</f>
        <v>193260020</v>
      </c>
      <c r="W37" s="30" t="s">
        <v>31</v>
      </c>
      <c r="X37" s="134">
        <f t="shared" si="6"/>
        <v>193.26002</v>
      </c>
    </row>
    <row r="38" spans="1:24" s="69" customFormat="1" ht="30" x14ac:dyDescent="0.3">
      <c r="A38" s="78"/>
      <c r="B38" s="79"/>
      <c r="C38" s="36"/>
      <c r="D38" s="36"/>
      <c r="E38" s="36"/>
      <c r="F38" s="41"/>
      <c r="G38" s="41"/>
      <c r="H38" s="41"/>
      <c r="I38" s="37"/>
      <c r="J38" s="42"/>
      <c r="K38" s="118">
        <v>14</v>
      </c>
      <c r="L38" s="35" t="s">
        <v>21</v>
      </c>
      <c r="M38" s="132">
        <v>687600</v>
      </c>
      <c r="N38" s="132">
        <v>370627</v>
      </c>
      <c r="O38" s="13">
        <f t="shared" si="5"/>
        <v>316973</v>
      </c>
      <c r="P38" s="13" t="s">
        <v>32</v>
      </c>
      <c r="Q38" s="13">
        <f>O38*140</f>
        <v>44376220</v>
      </c>
      <c r="R38" s="30" t="s">
        <v>31</v>
      </c>
      <c r="S38" s="14">
        <f>Q38/1000000</f>
        <v>44.376220000000004</v>
      </c>
      <c r="T38" s="116">
        <f>O38-[1]voorraadstaat_2018_bijlage_ix__!$CB$702-30720</f>
        <v>281989</v>
      </c>
      <c r="U38" s="13" t="s">
        <v>32</v>
      </c>
      <c r="V38" s="13">
        <f>T38*140</f>
        <v>39478460</v>
      </c>
      <c r="W38" s="30" t="s">
        <v>31</v>
      </c>
      <c r="X38" s="134">
        <f t="shared" si="6"/>
        <v>39.478459999999998</v>
      </c>
    </row>
    <row r="39" spans="1:24" s="69" customFormat="1" ht="30" x14ac:dyDescent="0.3">
      <c r="A39" s="78"/>
      <c r="B39" s="79"/>
      <c r="C39" s="36"/>
      <c r="D39" s="36"/>
      <c r="E39" s="36"/>
      <c r="F39" s="41"/>
      <c r="G39" s="41"/>
      <c r="H39" s="41"/>
      <c r="I39" s="37"/>
      <c r="J39" s="42"/>
      <c r="K39" s="118">
        <v>15</v>
      </c>
      <c r="L39" s="35" t="s">
        <v>83</v>
      </c>
      <c r="M39" s="132">
        <v>601443</v>
      </c>
      <c r="N39" s="132">
        <v>0</v>
      </c>
      <c r="O39" s="13">
        <f t="shared" si="5"/>
        <v>601443</v>
      </c>
      <c r="P39" s="13" t="s">
        <v>93</v>
      </c>
      <c r="Q39" s="13">
        <f>O39*480</f>
        <v>288692640</v>
      </c>
      <c r="R39" s="30" t="s">
        <v>31</v>
      </c>
      <c r="S39" s="14">
        <f>Q39/1000000</f>
        <v>288.69263999999998</v>
      </c>
      <c r="T39" s="116">
        <f>O39-[1]voorraadstaat_2018_bijlage_ix__!$CF$702-44043</f>
        <v>296571</v>
      </c>
      <c r="U39" s="13" t="s">
        <v>93</v>
      </c>
      <c r="V39" s="13">
        <f>T39*480</f>
        <v>142354080</v>
      </c>
      <c r="W39" s="30" t="s">
        <v>31</v>
      </c>
      <c r="X39" s="134">
        <f t="shared" si="6"/>
        <v>142.35408000000001</v>
      </c>
    </row>
    <row r="40" spans="1:24" s="69" customFormat="1" ht="30" x14ac:dyDescent="0.3">
      <c r="A40" s="78"/>
      <c r="B40" s="79"/>
      <c r="C40" s="36"/>
      <c r="D40" s="36"/>
      <c r="E40" s="36"/>
      <c r="F40" s="41"/>
      <c r="G40" s="41"/>
      <c r="H40" s="41"/>
      <c r="I40" s="37"/>
      <c r="J40" s="42"/>
      <c r="K40" s="118">
        <v>16</v>
      </c>
      <c r="L40" s="35" t="s">
        <v>56</v>
      </c>
      <c r="M40" s="132">
        <v>562878</v>
      </c>
      <c r="N40" s="132">
        <v>163833</v>
      </c>
      <c r="O40" s="13">
        <f t="shared" si="5"/>
        <v>399045</v>
      </c>
      <c r="P40" s="13" t="s">
        <v>24</v>
      </c>
      <c r="Q40" s="13">
        <f>O40</f>
        <v>399045</v>
      </c>
      <c r="R40" s="30" t="s">
        <v>30</v>
      </c>
      <c r="S40" s="14">
        <f>Q40/1000*0.92</f>
        <v>367.12140000000005</v>
      </c>
      <c r="T40" s="116">
        <f>O40-[1]voorraadstaat_2018_bijlage_ix__!$CJ$702-44638</f>
        <v>266260</v>
      </c>
      <c r="U40" s="13" t="s">
        <v>24</v>
      </c>
      <c r="V40" s="13">
        <f>T40</f>
        <v>266260</v>
      </c>
      <c r="W40" s="30" t="s">
        <v>30</v>
      </c>
      <c r="X40" s="134">
        <f>V40/1000*0.92</f>
        <v>244.95920000000001</v>
      </c>
    </row>
    <row r="41" spans="1:24" s="69" customFormat="1" ht="30" x14ac:dyDescent="0.3">
      <c r="A41" s="78"/>
      <c r="B41" s="79"/>
      <c r="C41" s="36"/>
      <c r="D41" s="36"/>
      <c r="E41" s="36"/>
      <c r="F41" s="41"/>
      <c r="G41" s="41"/>
      <c r="H41" s="41"/>
      <c r="I41" s="37"/>
      <c r="J41" s="42"/>
      <c r="K41" s="118">
        <v>17</v>
      </c>
      <c r="L41" s="35" t="s">
        <v>86</v>
      </c>
      <c r="M41" s="132">
        <v>867456</v>
      </c>
      <c r="N41" s="132">
        <v>0</v>
      </c>
      <c r="O41" s="13">
        <f t="shared" si="5"/>
        <v>867456</v>
      </c>
      <c r="P41" s="13" t="s">
        <v>94</v>
      </c>
      <c r="Q41" s="13">
        <f>O41*130</f>
        <v>112769280</v>
      </c>
      <c r="R41" s="30" t="s">
        <v>31</v>
      </c>
      <c r="S41" s="14">
        <f>Q41/1000000</f>
        <v>112.76927999999999</v>
      </c>
      <c r="T41" s="116">
        <f>O41-[1]voorraadstaat_2018_bijlage_ix__!$CN$702-72294</f>
        <v>445077</v>
      </c>
      <c r="U41" s="13" t="s">
        <v>94</v>
      </c>
      <c r="V41" s="13">
        <f>T41*130</f>
        <v>57860010</v>
      </c>
      <c r="W41" s="30" t="s">
        <v>31</v>
      </c>
      <c r="X41" s="134">
        <f>V41/1000000</f>
        <v>57.860010000000003</v>
      </c>
    </row>
    <row r="42" spans="1:24" s="69" customFormat="1" ht="30" x14ac:dyDescent="0.3">
      <c r="A42" s="78"/>
      <c r="B42" s="79"/>
      <c r="C42" s="36"/>
      <c r="D42" s="36"/>
      <c r="E42" s="36"/>
      <c r="F42" s="41"/>
      <c r="G42" s="41"/>
      <c r="H42" s="41"/>
      <c r="I42" s="37"/>
      <c r="J42" s="42"/>
      <c r="K42" s="118">
        <v>18</v>
      </c>
      <c r="L42" s="35" t="s">
        <v>58</v>
      </c>
      <c r="M42" s="132">
        <v>884001</v>
      </c>
      <c r="N42" s="132">
        <v>350293</v>
      </c>
      <c r="O42" s="13">
        <f t="shared" si="5"/>
        <v>533708</v>
      </c>
      <c r="P42" s="13" t="s">
        <v>51</v>
      </c>
      <c r="Q42" s="13">
        <f>O42*100</f>
        <v>53370800</v>
      </c>
      <c r="R42" s="30" t="s">
        <v>31</v>
      </c>
      <c r="S42" s="14">
        <f>Q42/1000000</f>
        <v>53.370800000000003</v>
      </c>
      <c r="T42" s="116">
        <f>O42-[1]voorraadstaat_2018_bijlage_ix__!$CR$702-63641</f>
        <v>370961</v>
      </c>
      <c r="U42" s="13" t="s">
        <v>51</v>
      </c>
      <c r="V42" s="13">
        <f>T42*100</f>
        <v>37096100</v>
      </c>
      <c r="W42" s="30" t="s">
        <v>31</v>
      </c>
      <c r="X42" s="134">
        <f t="shared" ref="X42:X46" si="10">V42/1000000</f>
        <v>37.0961</v>
      </c>
    </row>
    <row r="43" spans="1:24" s="69" customFormat="1" ht="30" x14ac:dyDescent="0.3">
      <c r="A43" s="78"/>
      <c r="B43" s="79"/>
      <c r="C43" s="36"/>
      <c r="D43" s="36"/>
      <c r="E43" s="36"/>
      <c r="F43" s="41"/>
      <c r="G43" s="41"/>
      <c r="H43" s="41"/>
      <c r="I43" s="37"/>
      <c r="J43" s="42"/>
      <c r="K43" s="118">
        <v>19</v>
      </c>
      <c r="L43" s="68" t="s">
        <v>23</v>
      </c>
      <c r="M43" s="132">
        <v>381025</v>
      </c>
      <c r="N43" s="132">
        <v>152834</v>
      </c>
      <c r="O43" s="13">
        <f t="shared" si="5"/>
        <v>228191</v>
      </c>
      <c r="P43" s="13" t="s">
        <v>28</v>
      </c>
      <c r="Q43" s="13">
        <f>O43*500</f>
        <v>114095500</v>
      </c>
      <c r="R43" s="30" t="s">
        <v>31</v>
      </c>
      <c r="S43" s="14">
        <f>Q43/1000000</f>
        <v>114.0955</v>
      </c>
      <c r="T43" s="116">
        <f>O43-[1]voorraadstaat_2018_bijlage_ix__!$CV$702-21780</f>
        <v>161056</v>
      </c>
      <c r="U43" s="13" t="s">
        <v>28</v>
      </c>
      <c r="V43" s="13">
        <f>T43*500</f>
        <v>80528000</v>
      </c>
      <c r="W43" s="30" t="s">
        <v>31</v>
      </c>
      <c r="X43" s="134">
        <f t="shared" si="10"/>
        <v>80.528000000000006</v>
      </c>
    </row>
    <row r="44" spans="1:24" s="69" customFormat="1" ht="30" x14ac:dyDescent="0.3">
      <c r="A44" s="78"/>
      <c r="B44" s="79"/>
      <c r="C44" s="36"/>
      <c r="D44" s="36"/>
      <c r="E44" s="36"/>
      <c r="F44" s="41"/>
      <c r="G44" s="41"/>
      <c r="H44" s="41"/>
      <c r="I44" s="37"/>
      <c r="J44" s="42"/>
      <c r="K44" s="118">
        <v>20</v>
      </c>
      <c r="L44" s="121" t="s">
        <v>82</v>
      </c>
      <c r="M44" s="132">
        <v>179400</v>
      </c>
      <c r="N44" s="132">
        <v>0</v>
      </c>
      <c r="O44" s="13">
        <f t="shared" si="5"/>
        <v>179400</v>
      </c>
      <c r="P44" s="13" t="s">
        <v>64</v>
      </c>
      <c r="Q44" s="13">
        <f>O44*200</f>
        <v>35880000</v>
      </c>
      <c r="R44" s="30" t="s">
        <v>31</v>
      </c>
      <c r="S44" s="14">
        <f t="shared" ref="S44:S46" si="11">Q44/1000000</f>
        <v>35.880000000000003</v>
      </c>
      <c r="T44" s="116">
        <f>O44-[1]voorraadstaat_2018_bijlage_ix__!$CZ$702-9148</f>
        <v>161783</v>
      </c>
      <c r="U44" s="13" t="s">
        <v>64</v>
      </c>
      <c r="V44" s="13">
        <f>T44*200</f>
        <v>32356600</v>
      </c>
      <c r="W44" s="30" t="s">
        <v>31</v>
      </c>
      <c r="X44" s="134">
        <f t="shared" si="10"/>
        <v>32.3566</v>
      </c>
    </row>
    <row r="45" spans="1:24" s="69" customFormat="1" ht="30" x14ac:dyDescent="0.3">
      <c r="A45" s="78"/>
      <c r="B45" s="79"/>
      <c r="C45" s="36"/>
      <c r="D45" s="36"/>
      <c r="E45" s="36"/>
      <c r="F45" s="41"/>
      <c r="G45" s="41"/>
      <c r="H45" s="41"/>
      <c r="I45" s="37"/>
      <c r="J45" s="42"/>
      <c r="K45" s="47">
        <v>21</v>
      </c>
      <c r="L45" s="68" t="s">
        <v>84</v>
      </c>
      <c r="M45" s="70">
        <v>393357</v>
      </c>
      <c r="N45" s="70">
        <v>0</v>
      </c>
      <c r="O45" s="13">
        <f t="shared" si="5"/>
        <v>393357</v>
      </c>
      <c r="P45" s="13" t="s">
        <v>29</v>
      </c>
      <c r="Q45" s="13">
        <f>O45*400</f>
        <v>157342800</v>
      </c>
      <c r="R45" s="30" t="s">
        <v>31</v>
      </c>
      <c r="S45" s="14">
        <f t="shared" si="11"/>
        <v>157.34280000000001</v>
      </c>
      <c r="T45" s="116">
        <f>O45-[1]voorraadstaat_2018_bijlage_ix__!$DD$702-27361</f>
        <v>310534</v>
      </c>
      <c r="U45" s="13" t="s">
        <v>29</v>
      </c>
      <c r="V45" s="13">
        <f>T45*400</f>
        <v>124213600</v>
      </c>
      <c r="W45" s="30" t="s">
        <v>31</v>
      </c>
      <c r="X45" s="134">
        <f t="shared" si="10"/>
        <v>124.2136</v>
      </c>
    </row>
    <row r="46" spans="1:24" s="69" customFormat="1" ht="30.75" thickBot="1" x14ac:dyDescent="0.35">
      <c r="A46" s="80"/>
      <c r="B46" s="81"/>
      <c r="C46" s="44"/>
      <c r="D46" s="44"/>
      <c r="E46" s="44"/>
      <c r="F46" s="39"/>
      <c r="G46" s="39"/>
      <c r="H46" s="39"/>
      <c r="I46" s="40"/>
      <c r="J46" s="43"/>
      <c r="K46" s="49">
        <v>22</v>
      </c>
      <c r="L46" s="123" t="s">
        <v>85</v>
      </c>
      <c r="M46" s="131">
        <v>342144</v>
      </c>
      <c r="N46" s="131">
        <v>0</v>
      </c>
      <c r="O46" s="27">
        <f t="shared" si="5"/>
        <v>342144</v>
      </c>
      <c r="P46" s="27" t="s">
        <v>29</v>
      </c>
      <c r="Q46" s="27">
        <f>O46*400</f>
        <v>136857600</v>
      </c>
      <c r="R46" s="50" t="s">
        <v>31</v>
      </c>
      <c r="S46" s="154">
        <f t="shared" si="11"/>
        <v>136.85759999999999</v>
      </c>
      <c r="T46" s="157">
        <f>O46-[1]voorraadstaat_2018_bijlage_ix__!$DH$702-18899</f>
        <v>197701</v>
      </c>
      <c r="U46" s="27" t="s">
        <v>29</v>
      </c>
      <c r="V46" s="27">
        <f>T46*400</f>
        <v>79080400</v>
      </c>
      <c r="W46" s="50" t="s">
        <v>31</v>
      </c>
      <c r="X46" s="155">
        <f t="shared" si="10"/>
        <v>79.080399999999997</v>
      </c>
    </row>
    <row r="47" spans="1:24" s="69" customFormat="1" ht="21.75" thickBot="1" x14ac:dyDescent="0.35">
      <c r="A47" s="64"/>
      <c r="B47" s="65"/>
      <c r="C47" s="63"/>
      <c r="D47" s="63"/>
      <c r="E47" s="63"/>
      <c r="F47" s="66"/>
      <c r="G47" s="66"/>
      <c r="H47" s="66"/>
      <c r="I47" s="67"/>
      <c r="J47" s="66"/>
      <c r="K47" s="64"/>
      <c r="L47" s="65"/>
      <c r="M47" s="63"/>
      <c r="N47" s="63"/>
      <c r="O47" s="63"/>
      <c r="P47" s="66"/>
      <c r="Q47" s="66"/>
      <c r="R47" s="67"/>
      <c r="S47" s="66"/>
      <c r="T47" s="66"/>
      <c r="U47" s="66"/>
      <c r="V47" s="63"/>
      <c r="W47" s="67"/>
      <c r="X47" s="142">
        <f>SUM(X4:X46)</f>
        <v>8260.6585099999993</v>
      </c>
    </row>
    <row r="48" spans="1:24" s="7" customFormat="1" ht="32.25" thickBot="1" x14ac:dyDescent="0.3">
      <c r="A48" s="22"/>
      <c r="B48" s="52" t="s">
        <v>14</v>
      </c>
      <c r="C48" s="6" t="s">
        <v>33</v>
      </c>
      <c r="D48" s="6" t="s">
        <v>34</v>
      </c>
      <c r="E48" s="6" t="s">
        <v>45</v>
      </c>
      <c r="F48" s="6" t="s">
        <v>75</v>
      </c>
      <c r="G48" s="59" t="s">
        <v>13</v>
      </c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8"/>
    </row>
    <row r="49" spans="2:20" ht="30" x14ac:dyDescent="0.25">
      <c r="B49" s="53" t="s">
        <v>100</v>
      </c>
      <c r="C49" s="55">
        <v>1</v>
      </c>
      <c r="D49" s="55" t="s">
        <v>40</v>
      </c>
      <c r="E49" s="60" t="s">
        <v>67</v>
      </c>
      <c r="F49" s="60" t="s">
        <v>96</v>
      </c>
      <c r="G49" s="138">
        <f>X4+X18+X25+X38</f>
        <v>3606.8341599999999</v>
      </c>
      <c r="T49"/>
    </row>
    <row r="50" spans="2:20" ht="30" x14ac:dyDescent="0.25">
      <c r="B50" s="54" t="s">
        <v>19</v>
      </c>
      <c r="C50" s="56" t="s">
        <v>35</v>
      </c>
      <c r="D50" s="56" t="s">
        <v>39</v>
      </c>
      <c r="E50" s="61"/>
      <c r="F50" s="61">
        <v>2</v>
      </c>
      <c r="G50" s="139">
        <f>X26</f>
        <v>69.506749999999997</v>
      </c>
      <c r="H50" s="45"/>
      <c r="Q50" s="45"/>
      <c r="T50"/>
    </row>
    <row r="51" spans="2:20" ht="60" x14ac:dyDescent="0.25">
      <c r="B51" s="54" t="s">
        <v>18</v>
      </c>
      <c r="C51" s="56" t="s">
        <v>38</v>
      </c>
      <c r="D51" s="56" t="s">
        <v>43</v>
      </c>
      <c r="E51" s="61" t="s">
        <v>68</v>
      </c>
      <c r="F51" s="61" t="s">
        <v>97</v>
      </c>
      <c r="G51" s="139">
        <f>X8+X10+X11+X12+X28+X30+X31+X32+X43+X24</f>
        <v>1904.5810000000001</v>
      </c>
      <c r="T51"/>
    </row>
    <row r="52" spans="2:20" ht="30" x14ac:dyDescent="0.25">
      <c r="B52" s="54" t="s">
        <v>65</v>
      </c>
      <c r="C52" s="56"/>
      <c r="D52" s="56"/>
      <c r="E52" s="61">
        <v>6</v>
      </c>
      <c r="F52" s="61"/>
      <c r="G52" s="139">
        <f>X9</f>
        <v>79.063999999999993</v>
      </c>
      <c r="T52"/>
    </row>
    <row r="53" spans="2:20" s="21" customFormat="1" ht="30" x14ac:dyDescent="0.25">
      <c r="B53" s="54" t="s">
        <v>17</v>
      </c>
      <c r="C53" s="56" t="s">
        <v>36</v>
      </c>
      <c r="D53" s="56" t="s">
        <v>41</v>
      </c>
      <c r="E53" s="61" t="s">
        <v>66</v>
      </c>
      <c r="F53" s="61" t="s">
        <v>98</v>
      </c>
      <c r="G53" s="139">
        <f>X13+X14+X15+X16+X33+X34+X35+X36+X37+X44</f>
        <v>1296.45948</v>
      </c>
      <c r="I53" s="45"/>
    </row>
    <row r="54" spans="2:20" ht="60" x14ac:dyDescent="0.25">
      <c r="B54" s="54" t="s">
        <v>15</v>
      </c>
      <c r="C54" s="56" t="s">
        <v>37</v>
      </c>
      <c r="D54" s="56" t="s">
        <v>42</v>
      </c>
      <c r="E54" s="61" t="s">
        <v>69</v>
      </c>
      <c r="F54" s="61" t="s">
        <v>99</v>
      </c>
      <c r="G54" s="139">
        <f>X6+X7+X19+X21+X22+X23+X27+X29+X39+X41+X42+X45+X46</f>
        <v>952.76944000000003</v>
      </c>
      <c r="T54"/>
    </row>
    <row r="55" spans="2:20" ht="30.75" thickBot="1" x14ac:dyDescent="0.3">
      <c r="B55" s="58" t="s">
        <v>16</v>
      </c>
      <c r="C55" s="57">
        <v>11</v>
      </c>
      <c r="D55" s="57">
        <v>11</v>
      </c>
      <c r="E55" s="62">
        <v>17</v>
      </c>
      <c r="F55" s="62">
        <v>16</v>
      </c>
      <c r="G55" s="141">
        <f>X20+X40</f>
        <v>351.44368000000003</v>
      </c>
      <c r="T55"/>
    </row>
    <row r="56" spans="2:20" ht="15.75" thickBot="1" x14ac:dyDescent="0.3">
      <c r="B56" s="164"/>
      <c r="C56" s="165"/>
      <c r="D56" s="165"/>
      <c r="E56" s="165"/>
      <c r="F56" s="166"/>
      <c r="G56" s="140">
        <f>SUM(G49:G55)</f>
        <v>8260.6585100000011</v>
      </c>
      <c r="T56"/>
    </row>
    <row r="57" spans="2:20" x14ac:dyDescent="0.25">
      <c r="H57" s="45"/>
      <c r="T57"/>
    </row>
  </sheetData>
  <mergeCells count="4">
    <mergeCell ref="T1:X1"/>
    <mergeCell ref="A1:J1"/>
    <mergeCell ref="K1:S1"/>
    <mergeCell ref="B56:F5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Bossuyt Nele</dc:creator>
  <cp:lastModifiedBy>Bossuyt Nele</cp:lastModifiedBy>
  <dcterms:created xsi:type="dcterms:W3CDTF">2015-06-17T16:34:12Z</dcterms:created>
  <dcterms:modified xsi:type="dcterms:W3CDTF">2019-06-19T20:35:54Z</dcterms:modified>
</cp:coreProperties>
</file>