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9\"/>
    </mc:Choice>
  </mc:AlternateContent>
  <xr:revisionPtr revIDLastSave="0" documentId="13_ncr:1_{3AE879F7-2BD1-407B-B985-F5A7FA849C44}" xr6:coauthVersionLast="45" xr6:coauthVersionMax="45" xr10:uidLastSave="{00000000-0000-0000-0000-000000000000}"/>
  <bookViews>
    <workbookView xWindow="5955" yWindow="2775" windowWidth="18900" windowHeight="11055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" i="1" l="1"/>
  <c r="N28" i="1"/>
  <c r="S45" i="1" l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R41" i="1" l="1"/>
  <c r="R26" i="1"/>
  <c r="U43" i="1"/>
  <c r="W43" i="1" s="1"/>
  <c r="S40" i="1"/>
  <c r="S27" i="1"/>
  <c r="U27" i="1" s="1"/>
  <c r="W27" i="1" s="1"/>
  <c r="H49" i="1" s="1"/>
  <c r="S28" i="1"/>
  <c r="U28" i="1" s="1"/>
  <c r="W28" i="1" s="1"/>
  <c r="U29" i="1"/>
  <c r="W29" i="1" s="1"/>
  <c r="U30" i="1"/>
  <c r="W30" i="1" s="1"/>
  <c r="U31" i="1"/>
  <c r="W31" i="1" s="1"/>
  <c r="U32" i="1"/>
  <c r="W32" i="1" s="1"/>
  <c r="U33" i="1"/>
  <c r="W33" i="1" s="1"/>
  <c r="U34" i="1"/>
  <c r="W34" i="1" s="1"/>
  <c r="U35" i="1"/>
  <c r="W35" i="1" s="1"/>
  <c r="U36" i="1"/>
  <c r="W36" i="1" s="1"/>
  <c r="U37" i="1"/>
  <c r="W37" i="1" s="1"/>
  <c r="U38" i="1"/>
  <c r="W38" i="1" s="1"/>
  <c r="U39" i="1"/>
  <c r="W39" i="1" s="1"/>
  <c r="U41" i="1"/>
  <c r="W41" i="1" s="1"/>
  <c r="H54" i="1" s="1"/>
  <c r="U42" i="1"/>
  <c r="W42" i="1" s="1"/>
  <c r="U45" i="1"/>
  <c r="W45" i="1" s="1"/>
  <c r="U44" i="1"/>
  <c r="W44" i="1" s="1"/>
  <c r="U26" i="1"/>
  <c r="W26" i="1" s="1"/>
  <c r="H50" i="1" l="1"/>
  <c r="H52" i="1"/>
  <c r="H48" i="1"/>
  <c r="H53" i="1"/>
  <c r="W46" i="1"/>
  <c r="P43" i="1"/>
  <c r="R43" i="1" s="1"/>
  <c r="P42" i="1"/>
  <c r="R42" i="1" s="1"/>
  <c r="P38" i="1"/>
  <c r="R38" i="1" s="1"/>
  <c r="P37" i="1"/>
  <c r="R37" i="1" s="1"/>
  <c r="P34" i="1"/>
  <c r="R34" i="1" s="1"/>
  <c r="P33" i="1"/>
  <c r="R33" i="1" s="1"/>
  <c r="P29" i="1"/>
  <c r="R29" i="1" s="1"/>
  <c r="N45" i="1"/>
  <c r="P45" i="1" s="1"/>
  <c r="R45" i="1" s="1"/>
  <c r="P44" i="1"/>
  <c r="R44" i="1" s="1"/>
  <c r="N43" i="1"/>
  <c r="N42" i="1"/>
  <c r="N41" i="1"/>
  <c r="P41" i="1" s="1"/>
  <c r="N39" i="1"/>
  <c r="P39" i="1" s="1"/>
  <c r="R39" i="1" s="1"/>
  <c r="N38" i="1"/>
  <c r="N37" i="1"/>
  <c r="N36" i="1"/>
  <c r="P36" i="1" s="1"/>
  <c r="R36" i="1" s="1"/>
  <c r="N35" i="1"/>
  <c r="P35" i="1" s="1"/>
  <c r="R35" i="1" s="1"/>
  <c r="N33" i="1"/>
  <c r="N32" i="1"/>
  <c r="P32" i="1" s="1"/>
  <c r="R32" i="1" s="1"/>
  <c r="N31" i="1"/>
  <c r="P31" i="1" s="1"/>
  <c r="R31" i="1" s="1"/>
  <c r="N30" i="1"/>
  <c r="P30" i="1" s="1"/>
  <c r="R30" i="1" s="1"/>
  <c r="N29" i="1"/>
  <c r="P28" i="1"/>
  <c r="R28" i="1" s="1"/>
  <c r="N27" i="1"/>
  <c r="P27" i="1" s="1"/>
  <c r="R27" i="1" s="1"/>
  <c r="N26" i="1"/>
  <c r="P26" i="1" s="1"/>
  <c r="H55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U5" i="1" l="1"/>
  <c r="U6" i="1"/>
  <c r="U7" i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18" i="1"/>
  <c r="W18" i="1" s="1"/>
  <c r="U19" i="1"/>
  <c r="U20" i="1"/>
  <c r="W20" i="1" s="1"/>
  <c r="U21" i="1"/>
  <c r="W21" i="1" s="1"/>
  <c r="U22" i="1"/>
  <c r="W22" i="1" s="1"/>
  <c r="U23" i="1"/>
  <c r="W23" i="1" s="1"/>
  <c r="U24" i="1"/>
  <c r="W24" i="1" s="1"/>
  <c r="U25" i="1"/>
  <c r="W25" i="1" s="1"/>
  <c r="U4" i="1"/>
  <c r="H8" i="1" l="1"/>
  <c r="J8" i="1" s="1"/>
  <c r="H18" i="1"/>
  <c r="J18" i="1" s="1"/>
  <c r="H25" i="1"/>
  <c r="J25" i="1" s="1"/>
  <c r="H12" i="1"/>
  <c r="J12" i="1" s="1"/>
  <c r="H20" i="1"/>
  <c r="J20" i="1" s="1"/>
  <c r="H10" i="1"/>
  <c r="J10" i="1" s="1"/>
  <c r="H13" i="1"/>
  <c r="J13" i="1" s="1"/>
  <c r="H23" i="1"/>
  <c r="J23" i="1" s="1"/>
  <c r="H9" i="1"/>
  <c r="J9" i="1" s="1"/>
  <c r="H16" i="1"/>
  <c r="J16" i="1" s="1"/>
  <c r="H24" i="1"/>
  <c r="J24" i="1" s="1"/>
  <c r="W7" i="1"/>
  <c r="W6" i="1"/>
  <c r="W5" i="1"/>
  <c r="W4" i="1"/>
  <c r="H14" i="1" l="1"/>
  <c r="J14" i="1" s="1"/>
  <c r="H21" i="1"/>
  <c r="J21" i="1" s="1"/>
  <c r="H22" i="1"/>
  <c r="J22" i="1" s="1"/>
  <c r="H17" i="1"/>
  <c r="J17" i="1" s="1"/>
  <c r="H7" i="1"/>
  <c r="J7" i="1" s="1"/>
  <c r="H19" i="1"/>
  <c r="J19" i="1" s="1"/>
  <c r="W19" i="1"/>
  <c r="H15" i="1"/>
  <c r="J15" i="1" s="1"/>
  <c r="H4" i="1"/>
  <c r="J4" i="1" s="1"/>
  <c r="H5" i="1"/>
  <c r="J5" i="1" s="1"/>
  <c r="H11" i="1"/>
  <c r="J11" i="1" s="1"/>
  <c r="H6" i="1"/>
  <c r="J6" i="1" s="1"/>
</calcChain>
</file>

<file path=xl/sharedStrings.xml><?xml version="1.0" encoding="utf-8"?>
<sst xmlns="http://schemas.openxmlformats.org/spreadsheetml/2006/main" count="293" uniqueCount="119">
  <si>
    <t>Perceel</t>
  </si>
  <si>
    <t>Product</t>
  </si>
  <si>
    <t>Totaal volume</t>
  </si>
  <si>
    <t>Eenheid</t>
  </si>
  <si>
    <t>Lot</t>
  </si>
  <si>
    <t>Produit</t>
  </si>
  <si>
    <t>Emballage unité</t>
  </si>
  <si>
    <t>Volume total</t>
  </si>
  <si>
    <t>Unité</t>
  </si>
  <si>
    <t>Conversion en tonnes</t>
  </si>
  <si>
    <t>Unités distribuées</t>
  </si>
  <si>
    <t>Lait demi-écrémé
Halfvolle melk</t>
  </si>
  <si>
    <t>Tomates pelées
Gepelde tomaten</t>
  </si>
  <si>
    <t>Tonnes
Ton</t>
  </si>
  <si>
    <t>Lien avec les indicateurs de réalisation
Link met outputindicatoren</t>
  </si>
  <si>
    <t>Plats cuisinés, autres denrées alimentaires (qui ne relèvent pas des catégories susmentionnées)
Kant-en-klare levensmiddelen, andere levensmiddelen</t>
  </si>
  <si>
    <t>Graisses, huiles
Vet, olie</t>
  </si>
  <si>
    <t>Fruits et légumes
Fruit en groeten</t>
  </si>
  <si>
    <t>Farine, pain, pommes de terre, riz et autres produits riches en amidon
Meel, brood, aardappelen, rijst en andere zetmeelhoudende producten</t>
  </si>
  <si>
    <t>Viandes, œufs, poissons et fruits de mer
Vlees, eieren, vis, schaal- en schelpdieren</t>
  </si>
  <si>
    <t>Haricots verts en conserve
Sperziebonen</t>
  </si>
  <si>
    <t>Fromage fondu à tartiner
Smeerkaas</t>
  </si>
  <si>
    <t>Pétales de blé au chocolat
Tarwevlokken met chocolade</t>
  </si>
  <si>
    <t>1l</t>
  </si>
  <si>
    <t>125g</t>
  </si>
  <si>
    <t>1000g</t>
  </si>
  <si>
    <t>500g</t>
  </si>
  <si>
    <t>400g</t>
  </si>
  <si>
    <t>Litre
Liter</t>
  </si>
  <si>
    <t>Gramme
Gram</t>
  </si>
  <si>
    <t>140g</t>
  </si>
  <si>
    <t>Lots 2014
Percelen 2014</t>
  </si>
  <si>
    <t>Lots 2015
Percelen 2015</t>
  </si>
  <si>
    <t>2, 3, 4</t>
  </si>
  <si>
    <t>7 , 8, 9</t>
  </si>
  <si>
    <t>10, 12, 14</t>
  </si>
  <si>
    <t>5, 6, 13</t>
  </si>
  <si>
    <t>2, 4</t>
  </si>
  <si>
    <t>1, 9</t>
  </si>
  <si>
    <t>3, 7, 8, 10</t>
  </si>
  <si>
    <t>12, 15</t>
  </si>
  <si>
    <t>5, 6, 13, 14</t>
  </si>
  <si>
    <t>Lots 2016
Percelen 2016</t>
  </si>
  <si>
    <t>Riz
Rijst</t>
  </si>
  <si>
    <t>100g</t>
  </si>
  <si>
    <t>Farine de blé
Tarwemeel</t>
  </si>
  <si>
    <t>Macédoine de légumes
Groentemacdoine</t>
  </si>
  <si>
    <t>Huile d’olive
Olijfolie</t>
  </si>
  <si>
    <t>Chocolat noir issu du commerce équitable
Fairtrade fondant chocolade</t>
  </si>
  <si>
    <t>Maquereaux à l’huile d’olive
Makreel in olijfolie</t>
  </si>
  <si>
    <t>250g</t>
  </si>
  <si>
    <t>200g</t>
  </si>
  <si>
    <t>Quantité de sucre
Hoeveelheid suiker</t>
  </si>
  <si>
    <t>10, 11, 12, 13</t>
  </si>
  <si>
    <t>1, 15</t>
  </si>
  <si>
    <t>5, 7, 8, 9, 21</t>
  </si>
  <si>
    <t>3,4, 16, 18, 19, 20</t>
  </si>
  <si>
    <t>Verpakking eenheid</t>
  </si>
  <si>
    <t>Omzetting naar ton</t>
  </si>
  <si>
    <t>Lots 2017
Percelen 2017</t>
  </si>
  <si>
    <t>Verdeelde 
eenheden</t>
  </si>
  <si>
    <t>Verpakking 
eenheid</t>
  </si>
  <si>
    <t>Omzetting 
naar ton</t>
  </si>
  <si>
    <t>Fruits secs
Gedroogd fruit</t>
  </si>
  <si>
    <t>Confiture aux 4 fruits rouges
Confituur met 4 rode vruchten</t>
  </si>
  <si>
    <t>Poulet aux olives et citrons
Kip met olijven en citroen</t>
  </si>
  <si>
    <t>Boulettes sauce tomate
Balletjes in tomatensaus</t>
  </si>
  <si>
    <t>Galettes de maïs sans OGM
Maïswafels zonder GGG</t>
  </si>
  <si>
    <t>Haricots blancs
Witte bonen</t>
  </si>
  <si>
    <t>Pâtes: Coquillettes
Pasta: horentjes</t>
  </si>
  <si>
    <t>Pâtes: spaghetti biologiques
Pasta: biologische spaghetti</t>
  </si>
  <si>
    <t>Café moulu 100% arabica issu du commerce équitable
Gemalen koffie 100% arabica fairtrade</t>
  </si>
  <si>
    <t>Salade de riz au thon issu de la pêche durable
Rijstsalade met tonijn afkomstig van duurzame visvangst</t>
  </si>
  <si>
    <t>380g</t>
  </si>
  <si>
    <t>480g</t>
  </si>
  <si>
    <t>130g</t>
  </si>
  <si>
    <t>Mousseline de pommes
Appelmousseline</t>
  </si>
  <si>
    <t>1, 14</t>
  </si>
  <si>
    <t>4, 6, 7, 8, 19</t>
  </si>
  <si>
    <t>9, 10, 11, 12, 13, 20</t>
  </si>
  <si>
    <t>3, 5, 15, 17, 18, 21, 22</t>
  </si>
  <si>
    <t>Produits laitiers
Zuivelproducten</t>
  </si>
  <si>
    <t>Unités distribuées en 2017</t>
  </si>
  <si>
    <t>Hoeveelheden verdeeld in 2017</t>
  </si>
  <si>
    <t>QUANTITES RESIDUELLES CAMPAGNE 2017
RESTERENDE HOEVEELHEDEN CAMPAGNE 2017</t>
  </si>
  <si>
    <t xml:space="preserve">Unités achétées à la base - livrées en 2017 et 2018 </t>
  </si>
  <si>
    <t>Hoeveelheden aangekocht aan de basis geleverd in 2017 en 2018</t>
  </si>
  <si>
    <t>Unités résiduelles campagne 2017</t>
  </si>
  <si>
    <t>Resterende eenheden campagne 2017</t>
  </si>
  <si>
    <t>Unités distribuées en 2018</t>
  </si>
  <si>
    <t>QUANTITES DISTRIBUEES 2019
VERDEELDE HOEVEELHEDEN 2019</t>
  </si>
  <si>
    <t>Hoeveelheden verdeeld in 2018</t>
  </si>
  <si>
    <t>Lots 2018
Percelen 2018</t>
  </si>
  <si>
    <t xml:space="preserve">Unités achétées à la base - livrées en 2018,2019 et 2020 </t>
  </si>
  <si>
    <t>Hoeveelheden aangekocht aan de basis geleverd in 2018, 2019 en 2020</t>
  </si>
  <si>
    <t>Unités livrées au 31/12/2019</t>
  </si>
  <si>
    <t>Eenheden reeds geleverd op 31/12/2019</t>
  </si>
  <si>
    <t>Volume total livré au 31/12/2019</t>
  </si>
  <si>
    <t>Totaal volume geleverd op 31/12/2019</t>
  </si>
  <si>
    <t>QUANTITES RESIDUELLES CAMPAGNE 2018
RESTERENDE HOEVEELHEDEN CAMPAGNE 2018</t>
  </si>
  <si>
    <t>800g</t>
  </si>
  <si>
    <t>460g</t>
  </si>
  <si>
    <t>0,5l</t>
  </si>
  <si>
    <t>Maquereaux à l'huile de tournesol
Makreel in zonnebloemolie</t>
  </si>
  <si>
    <t>Pâtes: proposition libre
Pasta: vrij voorstel</t>
  </si>
  <si>
    <t>Macédoine de légumes
Groentemacedoine</t>
  </si>
  <si>
    <t>Haricots rouges
Rode bonen</t>
  </si>
  <si>
    <t>Mousseline de pomme
Appelmousseline</t>
  </si>
  <si>
    <t>Fromage fondu à tartiner
Smeerbare smeltkaas</t>
  </si>
  <si>
    <t>Confiture de fraises
Aardbeienconfituur</t>
  </si>
  <si>
    <t>Chocolat noir issu du commerce équitable
Pure fairtrade chocolade</t>
  </si>
  <si>
    <t>Muesli aux fruits secs
Muesli met gedroogd fruit</t>
  </si>
  <si>
    <t>Poulet aux olives et citron
Kip met olijven en citroen</t>
  </si>
  <si>
    <t>Boulettes à la sauce tomate
Balletjes in tomatensaus</t>
  </si>
  <si>
    <t>Haricots verts 
Sperziebonen</t>
  </si>
  <si>
    <t>420g</t>
  </si>
  <si>
    <t>4,6,7,8</t>
  </si>
  <si>
    <t>9,10,11,12,13</t>
  </si>
  <si>
    <t>3,5,15,17,18,19,20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</si>
</sst>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3" fontId="0" fillId="0" borderId="0" xfId="0" applyNumberFormat="1"/>
    <xf numFmtId="0" fontId="1" fillId="0" borderId="15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0" fontId="0" fillId="0" borderId="0" xfId="0"/>
    <xf numFmtId="0" fontId="0" fillId="0" borderId="0" xfId="0" applyBorder="1"/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3" fontId="0" fillId="0" borderId="23" xfId="0" applyNumberFormat="1" applyFont="1" applyFill="1" applyBorder="1" applyAlignment="1" applyProtection="1">
      <alignment vertical="center"/>
    </xf>
    <xf numFmtId="164" fontId="0" fillId="0" borderId="23" xfId="0" applyNumberFormat="1" applyFont="1" applyFill="1" applyBorder="1" applyAlignment="1" applyProtection="1">
      <alignment horizontal="center" vertical="center" wrapText="1"/>
    </xf>
    <xf numFmtId="164" fontId="0" fillId="2" borderId="20" xfId="0" applyNumberFormat="1" applyFont="1" applyFill="1" applyBorder="1" applyAlignment="1" applyProtection="1">
      <alignment horizontal="left" vertical="center" wrapText="1"/>
    </xf>
    <xf numFmtId="1" fontId="0" fillId="0" borderId="2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</xf>
    <xf numFmtId="164" fontId="0" fillId="0" borderId="19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4" fontId="0" fillId="2" borderId="3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/>
    <xf numFmtId="3" fontId="0" fillId="0" borderId="1" xfId="0" applyNumberFormat="1" applyFont="1" applyFill="1" applyBorder="1" applyAlignment="1" applyProtection="1">
      <alignment horizontal="right" vertical="center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0" fillId="9" borderId="22" xfId="0" applyNumberFormat="1" applyFont="1" applyFill="1" applyBorder="1" applyAlignment="1" applyProtection="1">
      <alignment horizontal="right" vertical="center"/>
    </xf>
    <xf numFmtId="3" fontId="0" fillId="9" borderId="23" xfId="0" applyNumberFormat="1" applyFont="1" applyFill="1" applyBorder="1" applyAlignment="1" applyProtection="1">
      <alignment vertical="center"/>
    </xf>
    <xf numFmtId="164" fontId="0" fillId="9" borderId="23" xfId="0" applyNumberFormat="1" applyFont="1" applyFill="1" applyBorder="1" applyAlignment="1" applyProtection="1">
      <alignment horizontal="center" vertical="center" wrapText="1"/>
    </xf>
    <xf numFmtId="1" fontId="0" fillId="9" borderId="2" xfId="0" applyNumberFormat="1" applyFont="1" applyFill="1" applyBorder="1" applyAlignment="1" applyProtection="1">
      <alignment horizontal="right" vertical="center"/>
    </xf>
    <xf numFmtId="3" fontId="0" fillId="9" borderId="1" xfId="0" applyNumberFormat="1" applyFont="1" applyFill="1" applyBorder="1" applyAlignment="1" applyProtection="1">
      <alignment vertical="center"/>
    </xf>
    <xf numFmtId="164" fontId="0" fillId="9" borderId="1" xfId="0" applyNumberFormat="1" applyFont="1" applyFill="1" applyBorder="1" applyAlignment="1" applyProtection="1">
      <alignment horizontal="center" vertical="center" wrapText="1"/>
    </xf>
    <xf numFmtId="164" fontId="0" fillId="9" borderId="1" xfId="0" applyNumberFormat="1" applyFont="1" applyFill="1" applyBorder="1" applyAlignment="1" applyProtection="1">
      <alignment horizontal="left" vertical="center" wrapText="1"/>
    </xf>
    <xf numFmtId="1" fontId="0" fillId="0" borderId="32" xfId="0" applyNumberFormat="1" applyFont="1" applyFill="1" applyBorder="1" applyAlignment="1" applyProtection="1">
      <alignment horizontal="right" vertical="center"/>
    </xf>
    <xf numFmtId="164" fontId="0" fillId="2" borderId="35" xfId="0" applyNumberFormat="1" applyFont="1" applyFill="1" applyBorder="1" applyAlignment="1" applyProtection="1">
      <alignment horizontal="left" vertical="center" wrapText="1"/>
    </xf>
    <xf numFmtId="164" fontId="0" fillId="2" borderId="34" xfId="0" applyNumberFormat="1" applyFont="1" applyFill="1" applyBorder="1" applyAlignment="1" applyProtection="1">
      <alignment horizontal="left" vertical="center" wrapText="1"/>
    </xf>
    <xf numFmtId="0" fontId="0" fillId="0" borderId="34" xfId="0" applyFont="1" applyBorder="1" applyAlignment="1">
      <alignment vertical="center" wrapText="1"/>
    </xf>
    <xf numFmtId="3" fontId="0" fillId="0" borderId="23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" fontId="0" fillId="0" borderId="24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164" fontId="0" fillId="0" borderId="20" xfId="0" applyNumberFormat="1" applyFont="1" applyFill="1" applyBorder="1" applyAlignment="1" applyProtection="1">
      <alignment horizontal="left" vertical="center" wrapText="1"/>
    </xf>
    <xf numFmtId="164" fontId="0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9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9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/>
    <xf numFmtId="0" fontId="1" fillId="0" borderId="1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4" fontId="0" fillId="0" borderId="36" xfId="0" applyNumberFormat="1" applyBorder="1"/>
    <xf numFmtId="0" fontId="0" fillId="0" borderId="2" xfId="0" applyFont="1" applyBorder="1" applyAlignment="1">
      <alignment wrapText="1"/>
    </xf>
    <xf numFmtId="4" fontId="0" fillId="0" borderId="3" xfId="0" applyNumberFormat="1" applyBorder="1"/>
    <xf numFmtId="0" fontId="0" fillId="0" borderId="13" xfId="0" applyFont="1" applyBorder="1" applyAlignment="1">
      <alignment wrapText="1"/>
    </xf>
    <xf numFmtId="0" fontId="0" fillId="9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/>
    <xf numFmtId="4" fontId="0" fillId="0" borderId="14" xfId="0" applyNumberFormat="1" applyBorder="1"/>
    <xf numFmtId="4" fontId="0" fillId="0" borderId="0" xfId="0" applyNumberFormat="1" applyBorder="1"/>
    <xf numFmtId="0" fontId="0" fillId="9" borderId="6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vertical="center"/>
    </xf>
    <xf numFmtId="4" fontId="0" fillId="0" borderId="34" xfId="0" applyNumberFormat="1" applyFont="1" applyFill="1" applyBorder="1" applyAlignment="1" applyProtection="1">
      <alignment vertical="center"/>
    </xf>
    <xf numFmtId="3" fontId="0" fillId="0" borderId="40" xfId="0" applyNumberFormat="1" applyFont="1" applyFill="1" applyBorder="1" applyAlignment="1" applyProtection="1">
      <alignment vertical="center"/>
    </xf>
    <xf numFmtId="3" fontId="0" fillId="0" borderId="31" xfId="0" applyNumberFormat="1" applyFont="1" applyFill="1" applyBorder="1" applyAlignment="1" applyProtection="1">
      <alignment vertical="center"/>
    </xf>
    <xf numFmtId="3" fontId="0" fillId="0" borderId="41" xfId="0" applyNumberFormat="1" applyFont="1" applyFill="1" applyBorder="1" applyAlignment="1" applyProtection="1">
      <alignment vertical="center"/>
    </xf>
    <xf numFmtId="164" fontId="0" fillId="9" borderId="23" xfId="0" applyNumberFormat="1" applyFont="1" applyFill="1" applyBorder="1" applyAlignment="1" applyProtection="1">
      <alignment horizontal="left" vertical="center" wrapText="1"/>
    </xf>
    <xf numFmtId="3" fontId="0" fillId="9" borderId="23" xfId="0" applyNumberFormat="1" applyFont="1" applyFill="1" applyBorder="1" applyAlignment="1" applyProtection="1">
      <alignment horizontal="right" vertical="center"/>
    </xf>
    <xf numFmtId="4" fontId="0" fillId="9" borderId="24" xfId="0" applyNumberFormat="1" applyFont="1" applyFill="1" applyBorder="1" applyAlignment="1" applyProtection="1">
      <alignment vertical="center"/>
    </xf>
    <xf numFmtId="3" fontId="0" fillId="9" borderId="1" xfId="0" applyNumberFormat="1" applyFont="1" applyFill="1" applyBorder="1" applyAlignment="1" applyProtection="1">
      <alignment horizontal="right" vertical="center"/>
    </xf>
    <xf numFmtId="4" fontId="0" fillId="9" borderId="3" xfId="0" applyNumberFormat="1" applyFont="1" applyFill="1" applyBorder="1" applyAlignment="1" applyProtection="1">
      <alignment vertical="center"/>
    </xf>
    <xf numFmtId="1" fontId="0" fillId="9" borderId="4" xfId="0" applyNumberFormat="1" applyFont="1" applyFill="1" applyBorder="1" applyAlignment="1" applyProtection="1">
      <alignment horizontal="right" vertical="center"/>
    </xf>
    <xf numFmtId="164" fontId="0" fillId="9" borderId="19" xfId="0" applyNumberFormat="1" applyFont="1" applyFill="1" applyBorder="1" applyAlignment="1" applyProtection="1">
      <alignment horizontal="left" vertical="center" wrapText="1"/>
    </xf>
    <xf numFmtId="3" fontId="0" fillId="9" borderId="19" xfId="0" applyNumberFormat="1" applyFont="1" applyFill="1" applyBorder="1" applyAlignment="1" applyProtection="1">
      <alignment horizontal="right" vertical="center"/>
    </xf>
    <xf numFmtId="3" fontId="0" fillId="9" borderId="19" xfId="0" applyNumberFormat="1" applyFont="1" applyFill="1" applyBorder="1" applyAlignment="1" applyProtection="1">
      <alignment vertical="center"/>
    </xf>
    <xf numFmtId="164" fontId="0" fillId="9" borderId="19" xfId="0" applyNumberFormat="1" applyFont="1" applyFill="1" applyBorder="1" applyAlignment="1" applyProtection="1">
      <alignment horizontal="center" vertical="center" wrapText="1"/>
    </xf>
    <xf numFmtId="4" fontId="0" fillId="9" borderId="5" xfId="0" applyNumberFormat="1" applyFont="1" applyFill="1" applyBorder="1" applyAlignment="1" applyProtection="1">
      <alignment vertical="center"/>
    </xf>
    <xf numFmtId="4" fontId="0" fillId="9" borderId="2" xfId="0" applyNumberFormat="1" applyFont="1" applyFill="1" applyBorder="1" applyAlignment="1" applyProtection="1">
      <alignment vertical="center"/>
    </xf>
    <xf numFmtId="4" fontId="0" fillId="9" borderId="1" xfId="0" applyNumberFormat="1" applyFont="1" applyFill="1" applyBorder="1" applyAlignment="1" applyProtection="1">
      <alignment vertical="center"/>
    </xf>
    <xf numFmtId="4" fontId="0" fillId="9" borderId="13" xfId="0" applyNumberFormat="1" applyFont="1" applyFill="1" applyBorder="1" applyAlignment="1" applyProtection="1">
      <alignment vertical="center"/>
    </xf>
    <xf numFmtId="4" fontId="0" fillId="9" borderId="12" xfId="0" applyNumberFormat="1" applyFont="1" applyFill="1" applyBorder="1" applyAlignment="1" applyProtection="1">
      <alignment vertical="center"/>
    </xf>
    <xf numFmtId="4" fontId="0" fillId="9" borderId="14" xfId="0" applyNumberFormat="1" applyFont="1" applyFill="1" applyBorder="1" applyAlignment="1" applyProtection="1">
      <alignment vertical="center"/>
    </xf>
    <xf numFmtId="4" fontId="0" fillId="9" borderId="22" xfId="0" applyNumberFormat="1" applyFont="1" applyFill="1" applyBorder="1" applyAlignment="1" applyProtection="1">
      <alignment vertical="center"/>
    </xf>
    <xf numFmtId="4" fontId="0" fillId="9" borderId="2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0" fillId="0" borderId="4" xfId="0" applyNumberFormat="1" applyFont="1" applyFill="1" applyBorder="1" applyAlignment="1" applyProtection="1">
      <alignment horizontal="right" vertical="center"/>
    </xf>
    <xf numFmtId="164" fontId="0" fillId="2" borderId="42" xfId="0" applyNumberFormat="1" applyFont="1" applyFill="1" applyBorder="1" applyAlignment="1" applyProtection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/>
    </xf>
    <xf numFmtId="4" fontId="0" fillId="0" borderId="42" xfId="0" applyNumberFormat="1" applyFont="1" applyFill="1" applyBorder="1" applyAlignment="1" applyProtection="1">
      <alignment vertical="center"/>
    </xf>
    <xf numFmtId="3" fontId="7" fillId="0" borderId="22" xfId="0" applyNumberFormat="1" applyFont="1" applyFill="1" applyBorder="1" applyAlignment="1" applyProtection="1">
      <alignment vertical="center"/>
    </xf>
    <xf numFmtId="164" fontId="7" fillId="2" borderId="23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/>
    </xf>
    <xf numFmtId="0" fontId="7" fillId="0" borderId="19" xfId="0" applyFont="1" applyBorder="1" applyAlignment="1">
      <alignment vertical="center" wrapText="1"/>
    </xf>
    <xf numFmtId="3" fontId="7" fillId="0" borderId="23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4" fontId="7" fillId="0" borderId="19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vertical="center"/>
    </xf>
    <xf numFmtId="3" fontId="7" fillId="0" borderId="19" xfId="0" applyNumberFormat="1" applyFont="1" applyFill="1" applyBorder="1" applyAlignment="1" applyProtection="1">
      <alignment vertical="center"/>
    </xf>
    <xf numFmtId="4" fontId="7" fillId="0" borderId="24" xfId="0" applyNumberFormat="1" applyFont="1" applyFill="1" applyBorder="1" applyAlignment="1" applyProtection="1">
      <alignment vertical="center"/>
    </xf>
    <xf numFmtId="3" fontId="0" fillId="0" borderId="22" xfId="0" applyNumberFormat="1" applyFont="1" applyFill="1" applyBorder="1" applyAlignment="1" applyProtection="1">
      <alignment vertical="center"/>
    </xf>
    <xf numFmtId="3" fontId="0" fillId="0" borderId="2" xfId="0" applyNumberFormat="1" applyFont="1" applyFill="1" applyBorder="1" applyAlignment="1" applyProtection="1">
      <alignment vertical="center"/>
    </xf>
    <xf numFmtId="3" fontId="0" fillId="0" borderId="4" xfId="0" applyNumberFormat="1" applyFont="1" applyFill="1" applyBorder="1" applyAlignment="1" applyProtection="1">
      <alignment vertical="center"/>
    </xf>
    <xf numFmtId="4" fontId="8" fillId="0" borderId="11" xfId="0" applyNumberFormat="1" applyFont="1" applyFill="1" applyBorder="1" applyAlignment="1"/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9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</cellXfs>
  <cellStyles count="7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werkenStocks31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685">
          <cell r="T685">
            <v>594132</v>
          </cell>
          <cell r="X685">
            <v>490007</v>
          </cell>
          <cell r="AB685">
            <v>41160</v>
          </cell>
          <cell r="AF685">
            <v>62511</v>
          </cell>
          <cell r="AJ685">
            <v>254827</v>
          </cell>
          <cell r="AN685">
            <v>189281</v>
          </cell>
          <cell r="AR685">
            <v>302586</v>
          </cell>
          <cell r="AV685">
            <v>268860</v>
          </cell>
          <cell r="AZ685">
            <v>394574</v>
          </cell>
          <cell r="BD685">
            <v>45505</v>
          </cell>
          <cell r="BH685">
            <v>142543</v>
          </cell>
          <cell r="BL685">
            <v>80273</v>
          </cell>
          <cell r="BP685">
            <v>155677</v>
          </cell>
          <cell r="BT685">
            <v>99712</v>
          </cell>
          <cell r="CB685">
            <v>177346</v>
          </cell>
          <cell r="CJ685">
            <v>119285</v>
          </cell>
          <cell r="CR685">
            <v>55884</v>
          </cell>
          <cell r="CV685">
            <v>36466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topLeftCell="I1" zoomScale="90" zoomScaleNormal="90" workbookViewId="0">
      <pane ySplit="2" topLeftCell="A39" activePane="bottomLeft" state="frozen"/>
      <selection pane="bottomLeft" activeCell="R26" sqref="R26:R45"/>
    </sheetView>
  </sheetViews>
  <sheetFormatPr defaultColWidth="9.140625" defaultRowHeight="15" x14ac:dyDescent="0.25"/>
  <cols>
    <col min="1" max="1" width="8.140625" style="11" customWidth="1"/>
    <col min="2" max="2" width="57.7109375" style="11" customWidth="1"/>
    <col min="3" max="5" width="16.28515625" style="11" customWidth="1"/>
    <col min="6" max="6" width="17.140625" style="11" customWidth="1"/>
    <col min="7" max="7" width="12.140625" style="11" customWidth="1"/>
    <col min="8" max="8" width="19.28515625" style="11" customWidth="1"/>
    <col min="9" max="9" width="10.28515625" style="11" customWidth="1"/>
    <col min="10" max="10" width="12.7109375" style="11" customWidth="1"/>
    <col min="11" max="11" width="8.140625" style="11" customWidth="1"/>
    <col min="12" max="12" width="57.7109375" style="11" customWidth="1"/>
    <col min="13" max="14" width="16.28515625" style="11" customWidth="1"/>
    <col min="15" max="15" width="12.140625" style="11" customWidth="1"/>
    <col min="16" max="16" width="19.28515625" style="11" customWidth="1"/>
    <col min="17" max="17" width="10.28515625" style="11" customWidth="1"/>
    <col min="18" max="18" width="12.7109375" style="11" customWidth="1"/>
    <col min="19" max="19" width="14.42578125" style="3" customWidth="1"/>
    <col min="20" max="20" width="12.140625" customWidth="1"/>
    <col min="21" max="21" width="14.5703125" customWidth="1"/>
    <col min="22" max="22" width="10.28515625" customWidth="1"/>
    <col min="23" max="23" width="15.42578125" customWidth="1"/>
  </cols>
  <sheetData>
    <row r="1" spans="1:23" s="2" customFormat="1" ht="48" customHeight="1" thickBot="1" x14ac:dyDescent="0.3">
      <c r="A1" s="134" t="s">
        <v>84</v>
      </c>
      <c r="B1" s="135"/>
      <c r="C1" s="135"/>
      <c r="D1" s="135"/>
      <c r="E1" s="135"/>
      <c r="F1" s="135"/>
      <c r="G1" s="135"/>
      <c r="H1" s="135"/>
      <c r="I1" s="135"/>
      <c r="J1" s="136"/>
      <c r="K1" s="139" t="s">
        <v>99</v>
      </c>
      <c r="L1" s="140"/>
      <c r="M1" s="140"/>
      <c r="N1" s="140"/>
      <c r="O1" s="140"/>
      <c r="P1" s="140"/>
      <c r="Q1" s="140"/>
      <c r="R1" s="141"/>
      <c r="S1" s="131" t="s">
        <v>90</v>
      </c>
      <c r="T1" s="132"/>
      <c r="U1" s="132"/>
      <c r="V1" s="132"/>
      <c r="W1" s="133"/>
    </row>
    <row r="2" spans="1:23" s="1" customFormat="1" ht="81.75" customHeight="1" thickBot="1" x14ac:dyDescent="0.3">
      <c r="A2" s="4" t="s">
        <v>4</v>
      </c>
      <c r="B2" s="13" t="s">
        <v>5</v>
      </c>
      <c r="C2" s="13" t="s">
        <v>85</v>
      </c>
      <c r="D2" s="13" t="s">
        <v>82</v>
      </c>
      <c r="E2" s="13" t="s">
        <v>89</v>
      </c>
      <c r="F2" s="13" t="s">
        <v>87</v>
      </c>
      <c r="G2" s="13" t="s">
        <v>6</v>
      </c>
      <c r="H2" s="13" t="s">
        <v>7</v>
      </c>
      <c r="I2" s="7" t="s">
        <v>8</v>
      </c>
      <c r="J2" s="9" t="s">
        <v>9</v>
      </c>
      <c r="K2" s="4" t="s">
        <v>4</v>
      </c>
      <c r="L2" s="13" t="s">
        <v>5</v>
      </c>
      <c r="M2" s="13" t="s">
        <v>93</v>
      </c>
      <c r="N2" s="13" t="s">
        <v>95</v>
      </c>
      <c r="O2" s="13" t="s">
        <v>6</v>
      </c>
      <c r="P2" s="13" t="s">
        <v>97</v>
      </c>
      <c r="Q2" s="7" t="s">
        <v>8</v>
      </c>
      <c r="R2" s="9" t="s">
        <v>9</v>
      </c>
      <c r="S2" s="78" t="s">
        <v>10</v>
      </c>
      <c r="T2" s="56" t="s">
        <v>6</v>
      </c>
      <c r="U2" s="8" t="s">
        <v>7</v>
      </c>
      <c r="V2" s="7" t="s">
        <v>8</v>
      </c>
      <c r="W2" s="9" t="s">
        <v>9</v>
      </c>
    </row>
    <row r="3" spans="1:23" s="1" customFormat="1" ht="95.25" customHeight="1" thickBot="1" x14ac:dyDescent="0.3">
      <c r="A3" s="25" t="s">
        <v>0</v>
      </c>
      <c r="B3" s="14" t="s">
        <v>1</v>
      </c>
      <c r="C3" s="14" t="s">
        <v>86</v>
      </c>
      <c r="D3" s="14" t="s">
        <v>83</v>
      </c>
      <c r="E3" s="14" t="s">
        <v>91</v>
      </c>
      <c r="F3" s="14" t="s">
        <v>88</v>
      </c>
      <c r="G3" s="14" t="s">
        <v>57</v>
      </c>
      <c r="H3" s="14" t="s">
        <v>2</v>
      </c>
      <c r="I3" s="16" t="s">
        <v>3</v>
      </c>
      <c r="J3" s="17" t="s">
        <v>58</v>
      </c>
      <c r="K3" s="25" t="s">
        <v>0</v>
      </c>
      <c r="L3" s="14" t="s">
        <v>1</v>
      </c>
      <c r="M3" s="14" t="s">
        <v>94</v>
      </c>
      <c r="N3" s="14" t="s">
        <v>96</v>
      </c>
      <c r="O3" s="14" t="s">
        <v>57</v>
      </c>
      <c r="P3" s="14" t="s">
        <v>98</v>
      </c>
      <c r="Q3" s="16" t="s">
        <v>3</v>
      </c>
      <c r="R3" s="17" t="s">
        <v>58</v>
      </c>
      <c r="S3" s="34" t="s">
        <v>60</v>
      </c>
      <c r="T3" s="35" t="s">
        <v>61</v>
      </c>
      <c r="U3" s="35" t="s">
        <v>2</v>
      </c>
      <c r="V3" s="36" t="s">
        <v>3</v>
      </c>
      <c r="W3" s="37" t="s">
        <v>62</v>
      </c>
    </row>
    <row r="4" spans="1:23" s="32" customFormat="1" ht="30" x14ac:dyDescent="0.3">
      <c r="A4" s="22">
        <v>1</v>
      </c>
      <c r="B4" s="46" t="s">
        <v>11</v>
      </c>
      <c r="C4" s="49">
        <v>5044501</v>
      </c>
      <c r="D4" s="49">
        <v>949426</v>
      </c>
      <c r="E4" s="49">
        <v>3378847</v>
      </c>
      <c r="F4" s="19">
        <f>C4-D4-E4</f>
        <v>716228</v>
      </c>
      <c r="G4" s="19" t="s">
        <v>23</v>
      </c>
      <c r="H4" s="19">
        <f>F4</f>
        <v>716228</v>
      </c>
      <c r="I4" s="20" t="s">
        <v>28</v>
      </c>
      <c r="J4" s="79">
        <f>H4/1000*1.03</f>
        <v>737.71483999999998</v>
      </c>
      <c r="K4" s="100"/>
      <c r="L4" s="101"/>
      <c r="M4" s="101"/>
      <c r="N4" s="101"/>
      <c r="O4" s="101"/>
      <c r="P4" s="101"/>
      <c r="Q4" s="101"/>
      <c r="R4" s="86"/>
      <c r="S4" s="81">
        <v>716228</v>
      </c>
      <c r="T4" s="19" t="s">
        <v>23</v>
      </c>
      <c r="U4" s="19">
        <f>S4</f>
        <v>716228</v>
      </c>
      <c r="V4" s="20" t="s">
        <v>28</v>
      </c>
      <c r="W4" s="51">
        <f>U4/1000*1.03</f>
        <v>737.71483999999998</v>
      </c>
    </row>
    <row r="5" spans="1:23" s="32" customFormat="1" ht="30" x14ac:dyDescent="0.3">
      <c r="A5" s="45">
        <v>2</v>
      </c>
      <c r="B5" s="47" t="s">
        <v>49</v>
      </c>
      <c r="C5" s="50">
        <v>1670565</v>
      </c>
      <c r="D5" s="50">
        <v>756611</v>
      </c>
      <c r="E5" s="50">
        <v>556054</v>
      </c>
      <c r="F5" s="10">
        <f t="shared" ref="F5:F25" si="0">C5-D5-E5</f>
        <v>357900</v>
      </c>
      <c r="G5" s="10" t="s">
        <v>24</v>
      </c>
      <c r="H5" s="10">
        <f>F5*125</f>
        <v>44737500</v>
      </c>
      <c r="I5" s="18" t="s">
        <v>29</v>
      </c>
      <c r="J5" s="80">
        <f t="shared" ref="J5:J18" si="1">H5/1000000</f>
        <v>44.737499999999997</v>
      </c>
      <c r="K5" s="95"/>
      <c r="L5" s="96"/>
      <c r="M5" s="96"/>
      <c r="N5" s="96"/>
      <c r="O5" s="96"/>
      <c r="P5" s="96"/>
      <c r="Q5" s="96"/>
      <c r="R5" s="88"/>
      <c r="S5" s="82">
        <v>357900</v>
      </c>
      <c r="T5" s="10" t="s">
        <v>24</v>
      </c>
      <c r="U5" s="10">
        <f>S5*125</f>
        <v>44737500</v>
      </c>
      <c r="V5" s="18" t="s">
        <v>29</v>
      </c>
      <c r="W5" s="52">
        <f>U5/1000000</f>
        <v>44.737499999999997</v>
      </c>
    </row>
    <row r="6" spans="1:23" s="32" customFormat="1" ht="27" customHeight="1" x14ac:dyDescent="0.3">
      <c r="A6" s="45">
        <v>3</v>
      </c>
      <c r="B6" s="21" t="s">
        <v>72</v>
      </c>
      <c r="C6" s="50">
        <v>937787</v>
      </c>
      <c r="D6" s="50">
        <v>363449</v>
      </c>
      <c r="E6" s="50">
        <v>397961</v>
      </c>
      <c r="F6" s="10">
        <f t="shared" si="0"/>
        <v>176377</v>
      </c>
      <c r="G6" s="10" t="s">
        <v>50</v>
      </c>
      <c r="H6" s="10">
        <f>F6*250</f>
        <v>44094250</v>
      </c>
      <c r="I6" s="18" t="s">
        <v>29</v>
      </c>
      <c r="J6" s="80">
        <f t="shared" si="1"/>
        <v>44.094250000000002</v>
      </c>
      <c r="K6" s="95"/>
      <c r="L6" s="96"/>
      <c r="M6" s="96"/>
      <c r="N6" s="96"/>
      <c r="O6" s="96"/>
      <c r="P6" s="96"/>
      <c r="Q6" s="96"/>
      <c r="R6" s="88"/>
      <c r="S6" s="82">
        <v>176377</v>
      </c>
      <c r="T6" s="10" t="s">
        <v>50</v>
      </c>
      <c r="U6" s="10">
        <f>S6*250</f>
        <v>44094250</v>
      </c>
      <c r="V6" s="18" t="s">
        <v>29</v>
      </c>
      <c r="W6" s="52">
        <f t="shared" ref="W6:W18" si="2">U6/1000000</f>
        <v>44.094250000000002</v>
      </c>
    </row>
    <row r="7" spans="1:23" s="32" customFormat="1" ht="30" x14ac:dyDescent="0.3">
      <c r="A7" s="45">
        <v>4</v>
      </c>
      <c r="B7" s="21" t="s">
        <v>45</v>
      </c>
      <c r="C7" s="50">
        <v>983699</v>
      </c>
      <c r="D7" s="50">
        <v>573856</v>
      </c>
      <c r="E7" s="50">
        <v>194781</v>
      </c>
      <c r="F7" s="10">
        <f t="shared" si="0"/>
        <v>215062</v>
      </c>
      <c r="G7" s="10" t="s">
        <v>25</v>
      </c>
      <c r="H7" s="10">
        <f>F7*1000</f>
        <v>215062000</v>
      </c>
      <c r="I7" s="18" t="s">
        <v>29</v>
      </c>
      <c r="J7" s="80">
        <f t="shared" si="1"/>
        <v>215.06200000000001</v>
      </c>
      <c r="K7" s="95"/>
      <c r="L7" s="96"/>
      <c r="M7" s="96"/>
      <c r="N7" s="96"/>
      <c r="O7" s="96"/>
      <c r="P7" s="96"/>
      <c r="Q7" s="96"/>
      <c r="R7" s="88"/>
      <c r="S7" s="82">
        <v>215062</v>
      </c>
      <c r="T7" s="10" t="s">
        <v>25</v>
      </c>
      <c r="U7" s="10">
        <f>S7*1000</f>
        <v>215062000</v>
      </c>
      <c r="V7" s="18" t="s">
        <v>29</v>
      </c>
      <c r="W7" s="52">
        <f t="shared" si="2"/>
        <v>215.06200000000001</v>
      </c>
    </row>
    <row r="8" spans="1:23" s="32" customFormat="1" ht="30" x14ac:dyDescent="0.3">
      <c r="A8" s="45">
        <v>5</v>
      </c>
      <c r="B8" s="21" t="s">
        <v>71</v>
      </c>
      <c r="C8" s="50">
        <v>596200</v>
      </c>
      <c r="D8" s="50">
        <v>0</v>
      </c>
      <c r="E8" s="50">
        <v>423691</v>
      </c>
      <c r="F8" s="10">
        <f t="shared" si="0"/>
        <v>172509</v>
      </c>
      <c r="G8" s="10" t="s">
        <v>50</v>
      </c>
      <c r="H8" s="10">
        <f>F8*250</f>
        <v>43127250</v>
      </c>
      <c r="I8" s="18" t="s">
        <v>29</v>
      </c>
      <c r="J8" s="80">
        <f t="shared" si="1"/>
        <v>43.127249999999997</v>
      </c>
      <c r="K8" s="95"/>
      <c r="L8" s="96"/>
      <c r="M8" s="96"/>
      <c r="N8" s="96"/>
      <c r="O8" s="96"/>
      <c r="P8" s="96"/>
      <c r="Q8" s="96"/>
      <c r="R8" s="88"/>
      <c r="S8" s="82">
        <v>172509</v>
      </c>
      <c r="T8" s="10" t="s">
        <v>50</v>
      </c>
      <c r="U8" s="10">
        <f>S8*250</f>
        <v>43127250</v>
      </c>
      <c r="V8" s="18" t="s">
        <v>29</v>
      </c>
      <c r="W8" s="52">
        <f t="shared" si="2"/>
        <v>43.127249999999997</v>
      </c>
    </row>
    <row r="9" spans="1:23" s="32" customFormat="1" ht="30" x14ac:dyDescent="0.3">
      <c r="A9" s="45">
        <v>6</v>
      </c>
      <c r="B9" s="21" t="s">
        <v>70</v>
      </c>
      <c r="C9" s="50">
        <v>608916</v>
      </c>
      <c r="D9" s="50">
        <v>0</v>
      </c>
      <c r="E9" s="50">
        <v>353191</v>
      </c>
      <c r="F9" s="10">
        <f t="shared" si="0"/>
        <v>255725</v>
      </c>
      <c r="G9" s="10" t="s">
        <v>25</v>
      </c>
      <c r="H9" s="10">
        <f t="shared" ref="H9:H10" si="3">F9*1000</f>
        <v>255725000</v>
      </c>
      <c r="I9" s="18" t="s">
        <v>29</v>
      </c>
      <c r="J9" s="80">
        <f t="shared" si="1"/>
        <v>255.72499999999999</v>
      </c>
      <c r="K9" s="95"/>
      <c r="L9" s="96"/>
      <c r="M9" s="96"/>
      <c r="N9" s="96"/>
      <c r="O9" s="96"/>
      <c r="P9" s="96"/>
      <c r="Q9" s="96"/>
      <c r="R9" s="88"/>
      <c r="S9" s="82">
        <v>255725</v>
      </c>
      <c r="T9" s="10" t="s">
        <v>25</v>
      </c>
      <c r="U9" s="10">
        <f>S9*1000</f>
        <v>255725000</v>
      </c>
      <c r="V9" s="18" t="s">
        <v>29</v>
      </c>
      <c r="W9" s="52">
        <f t="shared" si="2"/>
        <v>255.72499999999999</v>
      </c>
    </row>
    <row r="10" spans="1:23" s="32" customFormat="1" ht="30" x14ac:dyDescent="0.3">
      <c r="A10" s="45">
        <v>7</v>
      </c>
      <c r="B10" s="21" t="s">
        <v>69</v>
      </c>
      <c r="C10" s="50">
        <v>866551</v>
      </c>
      <c r="D10" s="50">
        <v>0</v>
      </c>
      <c r="E10" s="50">
        <v>617524</v>
      </c>
      <c r="F10" s="10">
        <f t="shared" si="0"/>
        <v>249027</v>
      </c>
      <c r="G10" s="10" t="s">
        <v>25</v>
      </c>
      <c r="H10" s="10">
        <f t="shared" si="3"/>
        <v>249027000</v>
      </c>
      <c r="I10" s="18" t="s">
        <v>29</v>
      </c>
      <c r="J10" s="80">
        <f t="shared" si="1"/>
        <v>249.02699999999999</v>
      </c>
      <c r="K10" s="95"/>
      <c r="L10" s="96"/>
      <c r="M10" s="96"/>
      <c r="N10" s="96"/>
      <c r="O10" s="96"/>
      <c r="P10" s="96"/>
      <c r="Q10" s="96"/>
      <c r="R10" s="88"/>
      <c r="S10" s="82">
        <v>249027</v>
      </c>
      <c r="T10" s="10" t="s">
        <v>25</v>
      </c>
      <c r="U10" s="10">
        <f>S10*1000</f>
        <v>249027000</v>
      </c>
      <c r="V10" s="18" t="s">
        <v>29</v>
      </c>
      <c r="W10" s="52">
        <f t="shared" si="2"/>
        <v>249.02699999999999</v>
      </c>
    </row>
    <row r="11" spans="1:23" s="32" customFormat="1" ht="30" x14ac:dyDescent="0.3">
      <c r="A11" s="45">
        <v>8</v>
      </c>
      <c r="B11" s="21" t="s">
        <v>43</v>
      </c>
      <c r="C11" s="50">
        <v>931560</v>
      </c>
      <c r="D11" s="50">
        <v>629189</v>
      </c>
      <c r="E11" s="50">
        <v>76318</v>
      </c>
      <c r="F11" s="10">
        <f t="shared" si="0"/>
        <v>226053</v>
      </c>
      <c r="G11" s="10" t="s">
        <v>25</v>
      </c>
      <c r="H11" s="10">
        <f>F11*1000</f>
        <v>226053000</v>
      </c>
      <c r="I11" s="18" t="s">
        <v>29</v>
      </c>
      <c r="J11" s="80">
        <f t="shared" si="1"/>
        <v>226.053</v>
      </c>
      <c r="K11" s="95"/>
      <c r="L11" s="96"/>
      <c r="M11" s="96"/>
      <c r="N11" s="96"/>
      <c r="O11" s="96"/>
      <c r="P11" s="96"/>
      <c r="Q11" s="96"/>
      <c r="R11" s="88"/>
      <c r="S11" s="82">
        <v>226053</v>
      </c>
      <c r="T11" s="10" t="s">
        <v>25</v>
      </c>
      <c r="U11" s="10">
        <f>S11*1000</f>
        <v>226053000</v>
      </c>
      <c r="V11" s="18" t="s">
        <v>29</v>
      </c>
      <c r="W11" s="52">
        <f t="shared" si="2"/>
        <v>226.053</v>
      </c>
    </row>
    <row r="12" spans="1:23" s="32" customFormat="1" ht="30" x14ac:dyDescent="0.3">
      <c r="A12" s="45">
        <v>9</v>
      </c>
      <c r="B12" s="48" t="s">
        <v>12</v>
      </c>
      <c r="C12" s="50">
        <v>1242432</v>
      </c>
      <c r="D12" s="50">
        <v>0</v>
      </c>
      <c r="E12" s="50">
        <v>930111</v>
      </c>
      <c r="F12" s="10">
        <f t="shared" si="0"/>
        <v>312321</v>
      </c>
      <c r="G12" s="10" t="s">
        <v>27</v>
      </c>
      <c r="H12" s="10">
        <f>F12*400</f>
        <v>124928400</v>
      </c>
      <c r="I12" s="18" t="s">
        <v>29</v>
      </c>
      <c r="J12" s="80">
        <f t="shared" si="1"/>
        <v>124.9284</v>
      </c>
      <c r="K12" s="95"/>
      <c r="L12" s="96"/>
      <c r="M12" s="96"/>
      <c r="N12" s="96"/>
      <c r="O12" s="96"/>
      <c r="P12" s="96"/>
      <c r="Q12" s="96"/>
      <c r="R12" s="88"/>
      <c r="S12" s="82">
        <v>312321</v>
      </c>
      <c r="T12" s="10" t="s">
        <v>27</v>
      </c>
      <c r="U12" s="10">
        <f>S12*400</f>
        <v>124928400</v>
      </c>
      <c r="V12" s="18" t="s">
        <v>29</v>
      </c>
      <c r="W12" s="52">
        <f t="shared" si="2"/>
        <v>124.9284</v>
      </c>
    </row>
    <row r="13" spans="1:23" s="32" customFormat="1" ht="30" x14ac:dyDescent="0.3">
      <c r="A13" s="45">
        <v>10</v>
      </c>
      <c r="B13" s="47" t="s">
        <v>20</v>
      </c>
      <c r="C13" s="50">
        <v>1050767</v>
      </c>
      <c r="D13" s="50">
        <v>0</v>
      </c>
      <c r="E13" s="50">
        <v>708237</v>
      </c>
      <c r="F13" s="10">
        <f t="shared" si="0"/>
        <v>342530</v>
      </c>
      <c r="G13" s="10" t="s">
        <v>27</v>
      </c>
      <c r="H13" s="10">
        <f>F13*400</f>
        <v>137012000</v>
      </c>
      <c r="I13" s="18" t="s">
        <v>29</v>
      </c>
      <c r="J13" s="80">
        <f t="shared" si="1"/>
        <v>137.012</v>
      </c>
      <c r="K13" s="95"/>
      <c r="L13" s="96"/>
      <c r="M13" s="96"/>
      <c r="N13" s="96"/>
      <c r="O13" s="96"/>
      <c r="P13" s="96"/>
      <c r="Q13" s="96"/>
      <c r="R13" s="88"/>
      <c r="S13" s="82">
        <v>342530</v>
      </c>
      <c r="T13" s="10" t="s">
        <v>27</v>
      </c>
      <c r="U13" s="10">
        <f>S13*400</f>
        <v>137012000</v>
      </c>
      <c r="V13" s="18" t="s">
        <v>29</v>
      </c>
      <c r="W13" s="52">
        <f t="shared" si="2"/>
        <v>137.012</v>
      </c>
    </row>
    <row r="14" spans="1:23" s="32" customFormat="1" ht="30" x14ac:dyDescent="0.3">
      <c r="A14" s="45">
        <v>11</v>
      </c>
      <c r="B14" s="21" t="s">
        <v>46</v>
      </c>
      <c r="C14" s="50">
        <v>1005501</v>
      </c>
      <c r="D14" s="50">
        <v>665060</v>
      </c>
      <c r="E14" s="50">
        <v>79555</v>
      </c>
      <c r="F14" s="10">
        <f t="shared" si="0"/>
        <v>260886</v>
      </c>
      <c r="G14" s="10" t="s">
        <v>27</v>
      </c>
      <c r="H14" s="10">
        <f>F14*400</f>
        <v>104354400</v>
      </c>
      <c r="I14" s="18" t="s">
        <v>29</v>
      </c>
      <c r="J14" s="80">
        <f t="shared" si="1"/>
        <v>104.3544</v>
      </c>
      <c r="K14" s="95"/>
      <c r="L14" s="96"/>
      <c r="M14" s="96"/>
      <c r="N14" s="96"/>
      <c r="O14" s="96"/>
      <c r="P14" s="96"/>
      <c r="Q14" s="96"/>
      <c r="R14" s="88"/>
      <c r="S14" s="82">
        <v>260886</v>
      </c>
      <c r="T14" s="10" t="s">
        <v>27</v>
      </c>
      <c r="U14" s="10">
        <f>S14*400</f>
        <v>104354400</v>
      </c>
      <c r="V14" s="18" t="s">
        <v>29</v>
      </c>
      <c r="W14" s="52">
        <f t="shared" si="2"/>
        <v>104.3544</v>
      </c>
    </row>
    <row r="15" spans="1:23" s="32" customFormat="1" ht="30" x14ac:dyDescent="0.3">
      <c r="A15" s="45">
        <v>12</v>
      </c>
      <c r="B15" s="21" t="s">
        <v>68</v>
      </c>
      <c r="C15" s="50">
        <v>928474</v>
      </c>
      <c r="D15" s="50">
        <v>545513</v>
      </c>
      <c r="E15" s="50">
        <v>234748</v>
      </c>
      <c r="F15" s="10">
        <f t="shared" si="0"/>
        <v>148213</v>
      </c>
      <c r="G15" s="10" t="s">
        <v>27</v>
      </c>
      <c r="H15" s="10">
        <f>F15*400</f>
        <v>59285200</v>
      </c>
      <c r="I15" s="18" t="s">
        <v>29</v>
      </c>
      <c r="J15" s="80">
        <f t="shared" si="1"/>
        <v>59.285200000000003</v>
      </c>
      <c r="K15" s="95"/>
      <c r="L15" s="96"/>
      <c r="M15" s="96"/>
      <c r="N15" s="96"/>
      <c r="O15" s="96"/>
      <c r="P15" s="96"/>
      <c r="Q15" s="96"/>
      <c r="R15" s="88"/>
      <c r="S15" s="82">
        <v>148213</v>
      </c>
      <c r="T15" s="10" t="s">
        <v>27</v>
      </c>
      <c r="U15" s="10">
        <f>S15*400</f>
        <v>59285200</v>
      </c>
      <c r="V15" s="18" t="s">
        <v>29</v>
      </c>
      <c r="W15" s="52">
        <f t="shared" si="2"/>
        <v>59.285200000000003</v>
      </c>
    </row>
    <row r="16" spans="1:23" s="32" customFormat="1" ht="30" x14ac:dyDescent="0.3">
      <c r="A16" s="45">
        <v>13</v>
      </c>
      <c r="B16" s="54" t="s">
        <v>76</v>
      </c>
      <c r="C16" s="50">
        <v>636740</v>
      </c>
      <c r="D16" s="50">
        <v>0</v>
      </c>
      <c r="E16" s="50">
        <v>508579</v>
      </c>
      <c r="F16" s="10">
        <f t="shared" si="0"/>
        <v>128161</v>
      </c>
      <c r="G16" s="10" t="s">
        <v>73</v>
      </c>
      <c r="H16" s="10">
        <f>F16*380</f>
        <v>48701180</v>
      </c>
      <c r="I16" s="18" t="s">
        <v>29</v>
      </c>
      <c r="J16" s="80">
        <f t="shared" si="1"/>
        <v>48.701180000000001</v>
      </c>
      <c r="K16" s="95"/>
      <c r="L16" s="96"/>
      <c r="M16" s="96"/>
      <c r="N16" s="96"/>
      <c r="O16" s="96"/>
      <c r="P16" s="96"/>
      <c r="Q16" s="96"/>
      <c r="R16" s="88"/>
      <c r="S16" s="82">
        <v>128161</v>
      </c>
      <c r="T16" s="10" t="s">
        <v>73</v>
      </c>
      <c r="U16" s="10">
        <f>S16*380</f>
        <v>48701180</v>
      </c>
      <c r="V16" s="18" t="s">
        <v>29</v>
      </c>
      <c r="W16" s="52">
        <f t="shared" si="2"/>
        <v>48.701180000000001</v>
      </c>
    </row>
    <row r="17" spans="1:23" s="32" customFormat="1" ht="30" x14ac:dyDescent="0.3">
      <c r="A17" s="45">
        <v>14</v>
      </c>
      <c r="B17" s="21" t="s">
        <v>21</v>
      </c>
      <c r="C17" s="50">
        <v>687600</v>
      </c>
      <c r="D17" s="50">
        <v>370627</v>
      </c>
      <c r="E17" s="50">
        <v>281989</v>
      </c>
      <c r="F17" s="10">
        <f t="shared" si="0"/>
        <v>34984</v>
      </c>
      <c r="G17" s="10" t="s">
        <v>30</v>
      </c>
      <c r="H17" s="10">
        <f>F17*140</f>
        <v>4897760</v>
      </c>
      <c r="I17" s="18" t="s">
        <v>29</v>
      </c>
      <c r="J17" s="80">
        <f t="shared" si="1"/>
        <v>4.8977599999999999</v>
      </c>
      <c r="K17" s="95"/>
      <c r="L17" s="96"/>
      <c r="M17" s="96"/>
      <c r="N17" s="96"/>
      <c r="O17" s="96"/>
      <c r="P17" s="96"/>
      <c r="Q17" s="96"/>
      <c r="R17" s="88"/>
      <c r="S17" s="82">
        <v>34984</v>
      </c>
      <c r="T17" s="10" t="s">
        <v>30</v>
      </c>
      <c r="U17" s="10">
        <f>S17*140</f>
        <v>4897760</v>
      </c>
      <c r="V17" s="18" t="s">
        <v>29</v>
      </c>
      <c r="W17" s="52">
        <f t="shared" si="2"/>
        <v>4.8977599999999999</v>
      </c>
    </row>
    <row r="18" spans="1:23" s="32" customFormat="1" ht="30" x14ac:dyDescent="0.3">
      <c r="A18" s="45">
        <v>15</v>
      </c>
      <c r="B18" s="21" t="s">
        <v>64</v>
      </c>
      <c r="C18" s="50">
        <v>601443</v>
      </c>
      <c r="D18" s="50">
        <v>0</v>
      </c>
      <c r="E18" s="50">
        <v>296571</v>
      </c>
      <c r="F18" s="10">
        <f t="shared" si="0"/>
        <v>304872</v>
      </c>
      <c r="G18" s="10" t="s">
        <v>74</v>
      </c>
      <c r="H18" s="10">
        <f>F18*480</f>
        <v>146338560</v>
      </c>
      <c r="I18" s="18" t="s">
        <v>29</v>
      </c>
      <c r="J18" s="80">
        <f t="shared" si="1"/>
        <v>146.33856</v>
      </c>
      <c r="K18" s="95"/>
      <c r="L18" s="96"/>
      <c r="M18" s="96"/>
      <c r="N18" s="96"/>
      <c r="O18" s="96"/>
      <c r="P18" s="96"/>
      <c r="Q18" s="96"/>
      <c r="R18" s="88"/>
      <c r="S18" s="82">
        <v>304872</v>
      </c>
      <c r="T18" s="10" t="s">
        <v>74</v>
      </c>
      <c r="U18" s="10">
        <f>S18*480</f>
        <v>146338560</v>
      </c>
      <c r="V18" s="18" t="s">
        <v>29</v>
      </c>
      <c r="W18" s="52">
        <f t="shared" si="2"/>
        <v>146.33856</v>
      </c>
    </row>
    <row r="19" spans="1:23" s="32" customFormat="1" ht="30" x14ac:dyDescent="0.3">
      <c r="A19" s="45">
        <v>16</v>
      </c>
      <c r="B19" s="21" t="s">
        <v>47</v>
      </c>
      <c r="C19" s="50">
        <v>562878</v>
      </c>
      <c r="D19" s="50">
        <v>163833</v>
      </c>
      <c r="E19" s="50">
        <v>266260</v>
      </c>
      <c r="F19" s="10">
        <f t="shared" si="0"/>
        <v>132785</v>
      </c>
      <c r="G19" s="10" t="s">
        <v>23</v>
      </c>
      <c r="H19" s="10">
        <f>F19</f>
        <v>132785</v>
      </c>
      <c r="I19" s="18" t="s">
        <v>28</v>
      </c>
      <c r="J19" s="80">
        <f>H19/1000*0.92</f>
        <v>122.1622</v>
      </c>
      <c r="K19" s="95"/>
      <c r="L19" s="96"/>
      <c r="M19" s="96"/>
      <c r="N19" s="96"/>
      <c r="O19" s="96"/>
      <c r="P19" s="96"/>
      <c r="Q19" s="96"/>
      <c r="R19" s="88"/>
      <c r="S19" s="82">
        <v>132785</v>
      </c>
      <c r="T19" s="10" t="s">
        <v>23</v>
      </c>
      <c r="U19" s="10">
        <f>S19</f>
        <v>132785</v>
      </c>
      <c r="V19" s="18" t="s">
        <v>28</v>
      </c>
      <c r="W19" s="52">
        <f>U19/1000*0.92</f>
        <v>122.1622</v>
      </c>
    </row>
    <row r="20" spans="1:23" s="32" customFormat="1" ht="30" x14ac:dyDescent="0.3">
      <c r="A20" s="45">
        <v>17</v>
      </c>
      <c r="B20" s="21" t="s">
        <v>67</v>
      </c>
      <c r="C20" s="50">
        <v>867456</v>
      </c>
      <c r="D20" s="50">
        <v>0</v>
      </c>
      <c r="E20" s="50">
        <v>445077</v>
      </c>
      <c r="F20" s="10">
        <f t="shared" si="0"/>
        <v>422379</v>
      </c>
      <c r="G20" s="10" t="s">
        <v>75</v>
      </c>
      <c r="H20" s="10">
        <f>F20*130</f>
        <v>54909270</v>
      </c>
      <c r="I20" s="18" t="s">
        <v>29</v>
      </c>
      <c r="J20" s="80">
        <f>H20/1000000</f>
        <v>54.909269999999999</v>
      </c>
      <c r="K20" s="95"/>
      <c r="L20" s="96"/>
      <c r="M20" s="96"/>
      <c r="N20" s="96"/>
      <c r="O20" s="96"/>
      <c r="P20" s="96"/>
      <c r="Q20" s="96"/>
      <c r="R20" s="88"/>
      <c r="S20" s="82">
        <v>422379</v>
      </c>
      <c r="T20" s="10" t="s">
        <v>75</v>
      </c>
      <c r="U20" s="10">
        <f>S20*130</f>
        <v>54909270</v>
      </c>
      <c r="V20" s="18" t="s">
        <v>29</v>
      </c>
      <c r="W20" s="52">
        <f>U20/1000000</f>
        <v>54.909269999999999</v>
      </c>
    </row>
    <row r="21" spans="1:23" s="32" customFormat="1" ht="30" x14ac:dyDescent="0.3">
      <c r="A21" s="45">
        <v>18</v>
      </c>
      <c r="B21" s="21" t="s">
        <v>48</v>
      </c>
      <c r="C21" s="50">
        <v>884001</v>
      </c>
      <c r="D21" s="50">
        <v>350293</v>
      </c>
      <c r="E21" s="50">
        <v>370961</v>
      </c>
      <c r="F21" s="10">
        <f t="shared" si="0"/>
        <v>162747</v>
      </c>
      <c r="G21" s="10" t="s">
        <v>44</v>
      </c>
      <c r="H21" s="10">
        <f>F21*100</f>
        <v>16274700</v>
      </c>
      <c r="I21" s="18" t="s">
        <v>29</v>
      </c>
      <c r="J21" s="80">
        <f>H21/1000000</f>
        <v>16.274699999999999</v>
      </c>
      <c r="K21" s="95"/>
      <c r="L21" s="96"/>
      <c r="M21" s="96"/>
      <c r="N21" s="96"/>
      <c r="O21" s="96"/>
      <c r="P21" s="96"/>
      <c r="Q21" s="96"/>
      <c r="R21" s="88"/>
      <c r="S21" s="82">
        <v>162747</v>
      </c>
      <c r="T21" s="10" t="s">
        <v>44</v>
      </c>
      <c r="U21" s="10">
        <f>S21*100</f>
        <v>16274700</v>
      </c>
      <c r="V21" s="18" t="s">
        <v>29</v>
      </c>
      <c r="W21" s="52">
        <f t="shared" ref="W21:W25" si="4">U21/1000000</f>
        <v>16.274699999999999</v>
      </c>
    </row>
    <row r="22" spans="1:23" s="32" customFormat="1" ht="30" x14ac:dyDescent="0.3">
      <c r="A22" s="45">
        <v>19</v>
      </c>
      <c r="B22" s="31" t="s">
        <v>22</v>
      </c>
      <c r="C22" s="50">
        <v>381025</v>
      </c>
      <c r="D22" s="50">
        <v>152834</v>
      </c>
      <c r="E22" s="50">
        <v>161056</v>
      </c>
      <c r="F22" s="10">
        <f t="shared" si="0"/>
        <v>67135</v>
      </c>
      <c r="G22" s="10" t="s">
        <v>26</v>
      </c>
      <c r="H22" s="10">
        <f>F22*500</f>
        <v>33567500</v>
      </c>
      <c r="I22" s="18" t="s">
        <v>29</v>
      </c>
      <c r="J22" s="80">
        <f>H22/1000000</f>
        <v>33.567500000000003</v>
      </c>
      <c r="K22" s="95"/>
      <c r="L22" s="96"/>
      <c r="M22" s="96"/>
      <c r="N22" s="96"/>
      <c r="O22" s="96"/>
      <c r="P22" s="96"/>
      <c r="Q22" s="96"/>
      <c r="R22" s="88"/>
      <c r="S22" s="82">
        <v>67135</v>
      </c>
      <c r="T22" s="10" t="s">
        <v>26</v>
      </c>
      <c r="U22" s="10">
        <f>S22*500</f>
        <v>33567500</v>
      </c>
      <c r="V22" s="18" t="s">
        <v>29</v>
      </c>
      <c r="W22" s="52">
        <f t="shared" si="4"/>
        <v>33.567500000000003</v>
      </c>
    </row>
    <row r="23" spans="1:23" s="32" customFormat="1" ht="30" x14ac:dyDescent="0.3">
      <c r="A23" s="45">
        <v>20</v>
      </c>
      <c r="B23" s="47" t="s">
        <v>63</v>
      </c>
      <c r="C23" s="50">
        <v>179400</v>
      </c>
      <c r="D23" s="50">
        <v>0</v>
      </c>
      <c r="E23" s="50">
        <v>161783</v>
      </c>
      <c r="F23" s="10">
        <f t="shared" si="0"/>
        <v>17617</v>
      </c>
      <c r="G23" s="10" t="s">
        <v>51</v>
      </c>
      <c r="H23" s="10">
        <f>F23*200</f>
        <v>3523400</v>
      </c>
      <c r="I23" s="18" t="s">
        <v>29</v>
      </c>
      <c r="J23" s="80">
        <f t="shared" ref="J23:J25" si="5">H23/1000000</f>
        <v>3.5234000000000001</v>
      </c>
      <c r="K23" s="95"/>
      <c r="L23" s="96"/>
      <c r="M23" s="96"/>
      <c r="N23" s="96"/>
      <c r="O23" s="96"/>
      <c r="P23" s="96"/>
      <c r="Q23" s="96"/>
      <c r="R23" s="88"/>
      <c r="S23" s="82">
        <v>17617</v>
      </c>
      <c r="T23" s="10" t="s">
        <v>51</v>
      </c>
      <c r="U23" s="10">
        <f>S23*200</f>
        <v>3523400</v>
      </c>
      <c r="V23" s="18" t="s">
        <v>29</v>
      </c>
      <c r="W23" s="52">
        <f t="shared" si="4"/>
        <v>3.5234000000000001</v>
      </c>
    </row>
    <row r="24" spans="1:23" s="32" customFormat="1" ht="30" x14ac:dyDescent="0.3">
      <c r="A24" s="23">
        <v>21</v>
      </c>
      <c r="B24" s="31" t="s">
        <v>65</v>
      </c>
      <c r="C24" s="33">
        <v>393357</v>
      </c>
      <c r="D24" s="33">
        <v>0</v>
      </c>
      <c r="E24" s="33">
        <v>310534</v>
      </c>
      <c r="F24" s="10">
        <f t="shared" si="0"/>
        <v>82823</v>
      </c>
      <c r="G24" s="10" t="s">
        <v>27</v>
      </c>
      <c r="H24" s="10">
        <f>F24*400</f>
        <v>33129200</v>
      </c>
      <c r="I24" s="18" t="s">
        <v>29</v>
      </c>
      <c r="J24" s="80">
        <f t="shared" si="5"/>
        <v>33.129199999999997</v>
      </c>
      <c r="K24" s="95"/>
      <c r="L24" s="96"/>
      <c r="M24" s="96"/>
      <c r="N24" s="96"/>
      <c r="O24" s="96"/>
      <c r="P24" s="96"/>
      <c r="Q24" s="96"/>
      <c r="R24" s="88"/>
      <c r="S24" s="82">
        <v>82823</v>
      </c>
      <c r="T24" s="10" t="s">
        <v>27</v>
      </c>
      <c r="U24" s="10">
        <f>S24*400</f>
        <v>33129200</v>
      </c>
      <c r="V24" s="18" t="s">
        <v>29</v>
      </c>
      <c r="W24" s="52">
        <f t="shared" si="4"/>
        <v>33.129199999999997</v>
      </c>
    </row>
    <row r="25" spans="1:23" s="32" customFormat="1" ht="30.75" thickBot="1" x14ac:dyDescent="0.35">
      <c r="A25" s="105">
        <v>22</v>
      </c>
      <c r="B25" s="106" t="s">
        <v>66</v>
      </c>
      <c r="C25" s="107">
        <v>342144</v>
      </c>
      <c r="D25" s="107">
        <v>0</v>
      </c>
      <c r="E25" s="107">
        <v>197701</v>
      </c>
      <c r="F25" s="15">
        <f t="shared" si="0"/>
        <v>144443</v>
      </c>
      <c r="G25" s="15" t="s">
        <v>27</v>
      </c>
      <c r="H25" s="15">
        <f>F25*400</f>
        <v>57777200</v>
      </c>
      <c r="I25" s="24" t="s">
        <v>29</v>
      </c>
      <c r="J25" s="108">
        <f t="shared" si="5"/>
        <v>57.777200000000001</v>
      </c>
      <c r="K25" s="97"/>
      <c r="L25" s="98"/>
      <c r="M25" s="98"/>
      <c r="N25" s="98"/>
      <c r="O25" s="98"/>
      <c r="P25" s="98"/>
      <c r="Q25" s="98"/>
      <c r="R25" s="99"/>
      <c r="S25" s="83">
        <v>144443</v>
      </c>
      <c r="T25" s="15" t="s">
        <v>27</v>
      </c>
      <c r="U25" s="15">
        <f>S25*400</f>
        <v>57777200</v>
      </c>
      <c r="V25" s="24" t="s">
        <v>29</v>
      </c>
      <c r="W25" s="57">
        <f t="shared" si="4"/>
        <v>57.777200000000001</v>
      </c>
    </row>
    <row r="26" spans="1:23" s="32" customFormat="1" ht="30" x14ac:dyDescent="0.3">
      <c r="A26" s="38"/>
      <c r="B26" s="84"/>
      <c r="C26" s="85"/>
      <c r="D26" s="85"/>
      <c r="E26" s="85"/>
      <c r="F26" s="39"/>
      <c r="G26" s="39"/>
      <c r="H26" s="39"/>
      <c r="I26" s="40"/>
      <c r="J26" s="86"/>
      <c r="K26" s="109">
        <v>1</v>
      </c>
      <c r="L26" s="110" t="s">
        <v>11</v>
      </c>
      <c r="M26" s="116">
        <v>3174603</v>
      </c>
      <c r="N26" s="116">
        <f t="shared" ref="N26:N33" si="6">M26</f>
        <v>3174603</v>
      </c>
      <c r="O26" s="116" t="s">
        <v>23</v>
      </c>
      <c r="P26" s="116">
        <f>N26</f>
        <v>3174603</v>
      </c>
      <c r="Q26" s="20" t="s">
        <v>28</v>
      </c>
      <c r="R26" s="126">
        <f>P26/1000*1.03</f>
        <v>3269.8410900000003</v>
      </c>
      <c r="S26" s="127">
        <f>N26-[1]Blad1!$T$685-140103</f>
        <v>2440368</v>
      </c>
      <c r="T26" s="116" t="s">
        <v>23</v>
      </c>
      <c r="U26" s="19">
        <f>S26</f>
        <v>2440368</v>
      </c>
      <c r="V26" s="20" t="s">
        <v>28</v>
      </c>
      <c r="W26" s="51">
        <f>U26/1000*1.03</f>
        <v>2513.5790400000001</v>
      </c>
    </row>
    <row r="27" spans="1:23" s="32" customFormat="1" ht="30" x14ac:dyDescent="0.3">
      <c r="A27" s="41"/>
      <c r="B27" s="44"/>
      <c r="C27" s="87"/>
      <c r="D27" s="87"/>
      <c r="E27" s="87"/>
      <c r="F27" s="42"/>
      <c r="G27" s="42"/>
      <c r="H27" s="42"/>
      <c r="I27" s="43"/>
      <c r="J27" s="88"/>
      <c r="K27" s="111">
        <v>2</v>
      </c>
      <c r="L27" s="112" t="s">
        <v>103</v>
      </c>
      <c r="M27" s="119">
        <v>1923076</v>
      </c>
      <c r="N27" s="119">
        <f t="shared" si="6"/>
        <v>1923076</v>
      </c>
      <c r="O27" s="117" t="s">
        <v>24</v>
      </c>
      <c r="P27" s="119">
        <f>N27*125</f>
        <v>240384500</v>
      </c>
      <c r="Q27" s="18" t="s">
        <v>29</v>
      </c>
      <c r="R27" s="121">
        <f>P27/1000000</f>
        <v>240.3845</v>
      </c>
      <c r="S27" s="128">
        <f>N27-[1]Blad1!$X$685-118673</f>
        <v>1314396</v>
      </c>
      <c r="T27" s="117" t="s">
        <v>24</v>
      </c>
      <c r="U27" s="10">
        <f>S27*125</f>
        <v>164299500</v>
      </c>
      <c r="V27" s="18" t="s">
        <v>29</v>
      </c>
      <c r="W27" s="52">
        <f>U27/1000000</f>
        <v>164.29949999999999</v>
      </c>
    </row>
    <row r="28" spans="1:23" s="32" customFormat="1" ht="30" x14ac:dyDescent="0.3">
      <c r="A28" s="41"/>
      <c r="B28" s="44"/>
      <c r="C28" s="87"/>
      <c r="D28" s="87"/>
      <c r="E28" s="87"/>
      <c r="F28" s="42"/>
      <c r="G28" s="42"/>
      <c r="H28" s="42"/>
      <c r="I28" s="43"/>
      <c r="J28" s="88"/>
      <c r="K28" s="111">
        <v>3</v>
      </c>
      <c r="L28" s="112" t="s">
        <v>72</v>
      </c>
      <c r="M28" s="119">
        <v>908906</v>
      </c>
      <c r="N28" s="119">
        <f>M28/2</f>
        <v>454453</v>
      </c>
      <c r="O28" s="117" t="s">
        <v>50</v>
      </c>
      <c r="P28" s="119">
        <f>N28*250</f>
        <v>113613250</v>
      </c>
      <c r="Q28" s="18" t="s">
        <v>29</v>
      </c>
      <c r="R28" s="121">
        <f t="shared" ref="R28:R39" si="7">P28/1000000</f>
        <v>113.61324999999999</v>
      </c>
      <c r="S28" s="128">
        <f>N28-[1]Blad1!$AB$685-4264</f>
        <v>409029</v>
      </c>
      <c r="T28" s="117" t="s">
        <v>50</v>
      </c>
      <c r="U28" s="10">
        <f>S28*250</f>
        <v>102257250</v>
      </c>
      <c r="V28" s="18" t="s">
        <v>29</v>
      </c>
      <c r="W28" s="52">
        <f t="shared" ref="W28:W39" si="8">U28/1000000</f>
        <v>102.25725</v>
      </c>
    </row>
    <row r="29" spans="1:23" s="32" customFormat="1" ht="30" x14ac:dyDescent="0.3">
      <c r="A29" s="41"/>
      <c r="B29" s="44"/>
      <c r="C29" s="87"/>
      <c r="D29" s="87"/>
      <c r="E29" s="87"/>
      <c r="F29" s="42"/>
      <c r="G29" s="42"/>
      <c r="H29" s="42"/>
      <c r="I29" s="43"/>
      <c r="J29" s="88"/>
      <c r="K29" s="111">
        <v>4</v>
      </c>
      <c r="L29" s="112" t="s">
        <v>45</v>
      </c>
      <c r="M29" s="119">
        <v>593220</v>
      </c>
      <c r="N29" s="119">
        <f t="shared" si="6"/>
        <v>593220</v>
      </c>
      <c r="O29" s="117" t="s">
        <v>44</v>
      </c>
      <c r="P29" s="119">
        <f>N29*100</f>
        <v>59322000</v>
      </c>
      <c r="Q29" s="18" t="s">
        <v>29</v>
      </c>
      <c r="R29" s="121">
        <f t="shared" si="7"/>
        <v>59.322000000000003</v>
      </c>
      <c r="S29" s="128">
        <f>N29-[1]Blad1!$AF$685-5076</f>
        <v>525633</v>
      </c>
      <c r="T29" s="117" t="s">
        <v>44</v>
      </c>
      <c r="U29" s="10">
        <f>S29*100</f>
        <v>52563300</v>
      </c>
      <c r="V29" s="18" t="s">
        <v>29</v>
      </c>
      <c r="W29" s="52">
        <f t="shared" si="8"/>
        <v>52.563299999999998</v>
      </c>
    </row>
    <row r="30" spans="1:23" s="32" customFormat="1" ht="30" x14ac:dyDescent="0.3">
      <c r="A30" s="41"/>
      <c r="B30" s="44"/>
      <c r="C30" s="87"/>
      <c r="D30" s="87"/>
      <c r="E30" s="87"/>
      <c r="F30" s="42"/>
      <c r="G30" s="42"/>
      <c r="H30" s="42"/>
      <c r="I30" s="43"/>
      <c r="J30" s="88"/>
      <c r="K30" s="111">
        <v>5</v>
      </c>
      <c r="L30" s="112" t="s">
        <v>71</v>
      </c>
      <c r="M30" s="119">
        <v>747663</v>
      </c>
      <c r="N30" s="119">
        <f t="shared" si="6"/>
        <v>747663</v>
      </c>
      <c r="O30" s="117" t="s">
        <v>50</v>
      </c>
      <c r="P30" s="119">
        <f>N30*250</f>
        <v>186915750</v>
      </c>
      <c r="Q30" s="120" t="s">
        <v>29</v>
      </c>
      <c r="R30" s="121">
        <f t="shared" si="7"/>
        <v>186.91575</v>
      </c>
      <c r="S30" s="128">
        <f>N30-[1]Blad1!$AJ$685-43836</f>
        <v>449000</v>
      </c>
      <c r="T30" s="117" t="s">
        <v>50</v>
      </c>
      <c r="U30" s="10">
        <f>S30*250</f>
        <v>112250000</v>
      </c>
      <c r="V30" s="18" t="s">
        <v>29</v>
      </c>
      <c r="W30" s="52">
        <f t="shared" si="8"/>
        <v>112.25</v>
      </c>
    </row>
    <row r="31" spans="1:23" s="32" customFormat="1" ht="30" x14ac:dyDescent="0.3">
      <c r="A31" s="41"/>
      <c r="B31" s="44"/>
      <c r="C31" s="87"/>
      <c r="D31" s="87"/>
      <c r="E31" s="87"/>
      <c r="F31" s="42"/>
      <c r="G31" s="42"/>
      <c r="H31" s="42"/>
      <c r="I31" s="43"/>
      <c r="J31" s="88"/>
      <c r="K31" s="111">
        <v>6</v>
      </c>
      <c r="L31" s="112" t="s">
        <v>70</v>
      </c>
      <c r="M31" s="119">
        <v>670731</v>
      </c>
      <c r="N31" s="119">
        <f t="shared" si="6"/>
        <v>670731</v>
      </c>
      <c r="O31" s="117" t="s">
        <v>25</v>
      </c>
      <c r="P31" s="119">
        <f>N31*1000</f>
        <v>670731000</v>
      </c>
      <c r="Q31" s="120" t="s">
        <v>29</v>
      </c>
      <c r="R31" s="121">
        <f t="shared" si="7"/>
        <v>670.73099999999999</v>
      </c>
      <c r="S31" s="128">
        <f>N31-[1]Blad1!$AN$685-25843</f>
        <v>455607</v>
      </c>
      <c r="T31" s="117" t="s">
        <v>25</v>
      </c>
      <c r="U31" s="10">
        <f>S31*1000</f>
        <v>455607000</v>
      </c>
      <c r="V31" s="18" t="s">
        <v>29</v>
      </c>
      <c r="W31" s="52">
        <f t="shared" si="8"/>
        <v>455.60700000000003</v>
      </c>
    </row>
    <row r="32" spans="1:23" s="32" customFormat="1" ht="30" x14ac:dyDescent="0.3">
      <c r="A32" s="41"/>
      <c r="B32" s="44"/>
      <c r="C32" s="87"/>
      <c r="D32" s="87"/>
      <c r="E32" s="87"/>
      <c r="F32" s="42"/>
      <c r="G32" s="42"/>
      <c r="H32" s="42"/>
      <c r="I32" s="43"/>
      <c r="J32" s="88"/>
      <c r="K32" s="111">
        <v>7</v>
      </c>
      <c r="L32" s="112" t="s">
        <v>104</v>
      </c>
      <c r="M32" s="119">
        <v>847457</v>
      </c>
      <c r="N32" s="119">
        <f t="shared" si="6"/>
        <v>847457</v>
      </c>
      <c r="O32" s="117" t="s">
        <v>25</v>
      </c>
      <c r="P32" s="119">
        <f>N32*1000</f>
        <v>847457000</v>
      </c>
      <c r="Q32" s="120" t="s">
        <v>29</v>
      </c>
      <c r="R32" s="121">
        <f t="shared" si="7"/>
        <v>847.45699999999999</v>
      </c>
      <c r="S32" s="128">
        <f>N32-[1]Blad1!$AR$685-65303</f>
        <v>479568</v>
      </c>
      <c r="T32" s="117" t="s">
        <v>25</v>
      </c>
      <c r="U32" s="10">
        <f>S32*1000</f>
        <v>479568000</v>
      </c>
      <c r="V32" s="18" t="s">
        <v>29</v>
      </c>
      <c r="W32" s="52">
        <f t="shared" si="8"/>
        <v>479.56799999999998</v>
      </c>
    </row>
    <row r="33" spans="1:23" s="32" customFormat="1" ht="30" x14ac:dyDescent="0.3">
      <c r="A33" s="41"/>
      <c r="B33" s="44"/>
      <c r="C33" s="87"/>
      <c r="D33" s="87"/>
      <c r="E33" s="87"/>
      <c r="F33" s="42"/>
      <c r="G33" s="42"/>
      <c r="H33" s="42"/>
      <c r="I33" s="43"/>
      <c r="J33" s="88"/>
      <c r="K33" s="111">
        <v>8</v>
      </c>
      <c r="L33" s="112" t="s">
        <v>43</v>
      </c>
      <c r="M33" s="119">
        <v>857142</v>
      </c>
      <c r="N33" s="119">
        <f t="shared" si="6"/>
        <v>857142</v>
      </c>
      <c r="O33" s="117" t="s">
        <v>25</v>
      </c>
      <c r="P33" s="119">
        <f>N33*1000</f>
        <v>857142000</v>
      </c>
      <c r="Q33" s="120" t="s">
        <v>29</v>
      </c>
      <c r="R33" s="121">
        <f t="shared" si="7"/>
        <v>857.14200000000005</v>
      </c>
      <c r="S33" s="128">
        <f>N33-[1]Blad1!$AV$685-65249</f>
        <v>523033</v>
      </c>
      <c r="T33" s="117" t="s">
        <v>25</v>
      </c>
      <c r="U33" s="10">
        <f>S33*1000</f>
        <v>523033000</v>
      </c>
      <c r="V33" s="18" t="s">
        <v>29</v>
      </c>
      <c r="W33" s="52">
        <f t="shared" si="8"/>
        <v>523.03300000000002</v>
      </c>
    </row>
    <row r="34" spans="1:23" s="32" customFormat="1" ht="30" x14ac:dyDescent="0.3">
      <c r="A34" s="41"/>
      <c r="B34" s="44"/>
      <c r="C34" s="87"/>
      <c r="D34" s="87"/>
      <c r="E34" s="87"/>
      <c r="F34" s="42"/>
      <c r="G34" s="42"/>
      <c r="H34" s="42"/>
      <c r="I34" s="43"/>
      <c r="J34" s="88"/>
      <c r="K34" s="111">
        <v>9</v>
      </c>
      <c r="L34" s="113" t="s">
        <v>12</v>
      </c>
      <c r="M34" s="119">
        <v>1363636</v>
      </c>
      <c r="N34" s="119">
        <v>705600</v>
      </c>
      <c r="O34" s="117" t="s">
        <v>27</v>
      </c>
      <c r="P34" s="119">
        <f>N34*400</f>
        <v>282240000</v>
      </c>
      <c r="Q34" s="120" t="s">
        <v>29</v>
      </c>
      <c r="R34" s="121">
        <f t="shared" si="7"/>
        <v>282.24</v>
      </c>
      <c r="S34" s="128">
        <f>N34-[1]Blad1!$AZ$685-22030</f>
        <v>288996</v>
      </c>
      <c r="T34" s="117" t="s">
        <v>27</v>
      </c>
      <c r="U34" s="10">
        <f>S34*400</f>
        <v>115598400</v>
      </c>
      <c r="V34" s="18" t="s">
        <v>29</v>
      </c>
      <c r="W34" s="52">
        <f t="shared" si="8"/>
        <v>115.5984</v>
      </c>
    </row>
    <row r="35" spans="1:23" s="32" customFormat="1" ht="30" x14ac:dyDescent="0.3">
      <c r="A35" s="41"/>
      <c r="B35" s="44"/>
      <c r="C35" s="87"/>
      <c r="D35" s="87"/>
      <c r="E35" s="87"/>
      <c r="F35" s="42"/>
      <c r="G35" s="42"/>
      <c r="H35" s="42"/>
      <c r="I35" s="43"/>
      <c r="J35" s="88"/>
      <c r="K35" s="111">
        <v>10</v>
      </c>
      <c r="L35" s="112" t="s">
        <v>114</v>
      </c>
      <c r="M35" s="119">
        <v>724637</v>
      </c>
      <c r="N35" s="119">
        <f>M35</f>
        <v>724637</v>
      </c>
      <c r="O35" s="117" t="s">
        <v>100</v>
      </c>
      <c r="P35" s="119">
        <f>N35*800</f>
        <v>579709600</v>
      </c>
      <c r="Q35" s="120" t="s">
        <v>29</v>
      </c>
      <c r="R35" s="121">
        <f t="shared" si="7"/>
        <v>579.70960000000002</v>
      </c>
      <c r="S35" s="128">
        <f>N35-[1]Blad1!$BD$685-1096</f>
        <v>678036</v>
      </c>
      <c r="T35" s="117" t="s">
        <v>100</v>
      </c>
      <c r="U35" s="10">
        <f>S35*800</f>
        <v>542428800</v>
      </c>
      <c r="V35" s="18" t="s">
        <v>29</v>
      </c>
      <c r="W35" s="52">
        <f t="shared" si="8"/>
        <v>542.42880000000002</v>
      </c>
    </row>
    <row r="36" spans="1:23" s="32" customFormat="1" ht="30" x14ac:dyDescent="0.3">
      <c r="A36" s="41"/>
      <c r="B36" s="44"/>
      <c r="C36" s="87"/>
      <c r="D36" s="87"/>
      <c r="E36" s="87"/>
      <c r="F36" s="42"/>
      <c r="G36" s="42"/>
      <c r="H36" s="42"/>
      <c r="I36" s="43"/>
      <c r="J36" s="88"/>
      <c r="K36" s="111">
        <v>11</v>
      </c>
      <c r="L36" s="112" t="s">
        <v>105</v>
      </c>
      <c r="M36" s="119">
        <v>718553</v>
      </c>
      <c r="N36" s="119">
        <f>M36</f>
        <v>718553</v>
      </c>
      <c r="O36" s="117" t="s">
        <v>115</v>
      </c>
      <c r="P36" s="119">
        <f>N36*420</f>
        <v>301792260</v>
      </c>
      <c r="Q36" s="120" t="s">
        <v>29</v>
      </c>
      <c r="R36" s="121">
        <f t="shared" si="7"/>
        <v>301.79226</v>
      </c>
      <c r="S36" s="128">
        <f>N36-[1]Blad1!$BH$685-35428</f>
        <v>540582</v>
      </c>
      <c r="T36" s="117" t="s">
        <v>115</v>
      </c>
      <c r="U36" s="10">
        <f>S36*420</f>
        <v>227044440</v>
      </c>
      <c r="V36" s="18" t="s">
        <v>29</v>
      </c>
      <c r="W36" s="52">
        <f t="shared" si="8"/>
        <v>227.04444000000001</v>
      </c>
    </row>
    <row r="37" spans="1:23" s="32" customFormat="1" ht="30" x14ac:dyDescent="0.3">
      <c r="A37" s="41"/>
      <c r="B37" s="44"/>
      <c r="C37" s="87"/>
      <c r="D37" s="87"/>
      <c r="E37" s="87"/>
      <c r="F37" s="42"/>
      <c r="G37" s="42"/>
      <c r="H37" s="42"/>
      <c r="I37" s="43"/>
      <c r="J37" s="88"/>
      <c r="K37" s="111">
        <v>12</v>
      </c>
      <c r="L37" s="112" t="s">
        <v>106</v>
      </c>
      <c r="M37" s="119">
        <v>641025</v>
      </c>
      <c r="N37" s="119">
        <f>M37</f>
        <v>641025</v>
      </c>
      <c r="O37" s="117" t="s">
        <v>27</v>
      </c>
      <c r="P37" s="119">
        <f>N37*400</f>
        <v>256410000</v>
      </c>
      <c r="Q37" s="120" t="s">
        <v>29</v>
      </c>
      <c r="R37" s="121">
        <f t="shared" si="7"/>
        <v>256.41000000000003</v>
      </c>
      <c r="S37" s="128">
        <f>N37-[1]Blad1!$BL$685-33291</f>
        <v>527461</v>
      </c>
      <c r="T37" s="117" t="s">
        <v>27</v>
      </c>
      <c r="U37" s="10">
        <f>S37*400</f>
        <v>210984400</v>
      </c>
      <c r="V37" s="18" t="s">
        <v>29</v>
      </c>
      <c r="W37" s="52">
        <f t="shared" si="8"/>
        <v>210.98439999999999</v>
      </c>
    </row>
    <row r="38" spans="1:23" s="32" customFormat="1" ht="30" x14ac:dyDescent="0.3">
      <c r="A38" s="41"/>
      <c r="B38" s="44"/>
      <c r="C38" s="87"/>
      <c r="D38" s="87"/>
      <c r="E38" s="87"/>
      <c r="F38" s="42"/>
      <c r="G38" s="42"/>
      <c r="H38" s="42"/>
      <c r="I38" s="43"/>
      <c r="J38" s="88"/>
      <c r="K38" s="111">
        <v>13</v>
      </c>
      <c r="L38" s="112" t="s">
        <v>107</v>
      </c>
      <c r="M38" s="119">
        <v>645161</v>
      </c>
      <c r="N38" s="119">
        <f>M38</f>
        <v>645161</v>
      </c>
      <c r="O38" s="117" t="s">
        <v>27</v>
      </c>
      <c r="P38" s="119">
        <f>N38*400</f>
        <v>258064400</v>
      </c>
      <c r="Q38" s="120" t="s">
        <v>29</v>
      </c>
      <c r="R38" s="121">
        <f t="shared" si="7"/>
        <v>258.06439999999998</v>
      </c>
      <c r="S38" s="128">
        <f>N38-[1]Blad1!$BP$685-39850</f>
        <v>449634</v>
      </c>
      <c r="T38" s="117" t="s">
        <v>27</v>
      </c>
      <c r="U38" s="10">
        <f>S38*400</f>
        <v>179853600</v>
      </c>
      <c r="V38" s="18" t="s">
        <v>29</v>
      </c>
      <c r="W38" s="52">
        <f t="shared" si="8"/>
        <v>179.8536</v>
      </c>
    </row>
    <row r="39" spans="1:23" s="32" customFormat="1" ht="30" x14ac:dyDescent="0.3">
      <c r="A39" s="41"/>
      <c r="B39" s="44"/>
      <c r="C39" s="87"/>
      <c r="D39" s="87"/>
      <c r="E39" s="87"/>
      <c r="F39" s="42"/>
      <c r="G39" s="42"/>
      <c r="H39" s="42"/>
      <c r="I39" s="43"/>
      <c r="J39" s="88"/>
      <c r="K39" s="111">
        <v>14</v>
      </c>
      <c r="L39" s="112" t="s">
        <v>108</v>
      </c>
      <c r="M39" s="119">
        <v>717391</v>
      </c>
      <c r="N39" s="119">
        <f>M39</f>
        <v>717391</v>
      </c>
      <c r="O39" s="117" t="s">
        <v>30</v>
      </c>
      <c r="P39" s="119">
        <f>N39*140</f>
        <v>100434740</v>
      </c>
      <c r="Q39" s="120" t="s">
        <v>29</v>
      </c>
      <c r="R39" s="121">
        <f t="shared" si="7"/>
        <v>100.43474000000001</v>
      </c>
      <c r="S39" s="128">
        <f>N39-[1]Blad1!$BT$685-35931</f>
        <v>581748</v>
      </c>
      <c r="T39" s="117" t="s">
        <v>30</v>
      </c>
      <c r="U39" s="10">
        <f>S39*140</f>
        <v>81444720</v>
      </c>
      <c r="V39" s="18" t="s">
        <v>29</v>
      </c>
      <c r="W39" s="52">
        <f t="shared" si="8"/>
        <v>81.444720000000004</v>
      </c>
    </row>
    <row r="40" spans="1:23" s="32" customFormat="1" ht="30" x14ac:dyDescent="0.3">
      <c r="A40" s="41"/>
      <c r="B40" s="44"/>
      <c r="C40" s="87"/>
      <c r="D40" s="87"/>
      <c r="E40" s="87"/>
      <c r="F40" s="42"/>
      <c r="G40" s="42"/>
      <c r="H40" s="42"/>
      <c r="I40" s="43"/>
      <c r="J40" s="88"/>
      <c r="K40" s="111">
        <v>15</v>
      </c>
      <c r="L40" s="112" t="s">
        <v>109</v>
      </c>
      <c r="M40" s="119">
        <v>671641</v>
      </c>
      <c r="N40" s="119">
        <v>0</v>
      </c>
      <c r="O40" s="117" t="s">
        <v>101</v>
      </c>
      <c r="P40" s="119">
        <v>0</v>
      </c>
      <c r="Q40" s="120" t="s">
        <v>29</v>
      </c>
      <c r="R40" s="121">
        <v>0</v>
      </c>
      <c r="S40" s="128">
        <f t="shared" ref="S40" si="9">N40</f>
        <v>0</v>
      </c>
      <c r="T40" s="117" t="s">
        <v>101</v>
      </c>
      <c r="U40" s="10">
        <v>0</v>
      </c>
      <c r="V40" s="18" t="s">
        <v>29</v>
      </c>
      <c r="W40" s="52">
        <v>0</v>
      </c>
    </row>
    <row r="41" spans="1:23" s="32" customFormat="1" ht="30" x14ac:dyDescent="0.3">
      <c r="A41" s="41"/>
      <c r="B41" s="44"/>
      <c r="C41" s="87"/>
      <c r="D41" s="87"/>
      <c r="E41" s="87"/>
      <c r="F41" s="42"/>
      <c r="G41" s="42"/>
      <c r="H41" s="42"/>
      <c r="I41" s="43"/>
      <c r="J41" s="88"/>
      <c r="K41" s="111">
        <v>16</v>
      </c>
      <c r="L41" s="112" t="s">
        <v>47</v>
      </c>
      <c r="M41" s="119">
        <v>668367</v>
      </c>
      <c r="N41" s="119">
        <f>M41</f>
        <v>668367</v>
      </c>
      <c r="O41" s="117" t="s">
        <v>102</v>
      </c>
      <c r="P41" s="119">
        <f>N41/2</f>
        <v>334183.5</v>
      </c>
      <c r="Q41" s="122" t="s">
        <v>28</v>
      </c>
      <c r="R41" s="121">
        <f>P41/1000*0.92</f>
        <v>307.44882000000001</v>
      </c>
      <c r="S41" s="128">
        <f>N41-[1]Blad1!$CB$685-35807</f>
        <v>455214</v>
      </c>
      <c r="T41" s="117" t="s">
        <v>102</v>
      </c>
      <c r="U41" s="10">
        <f>S41/2</f>
        <v>227607</v>
      </c>
      <c r="V41" s="55" t="s">
        <v>28</v>
      </c>
      <c r="W41" s="52">
        <f>U41/1000*0.92</f>
        <v>209.39844000000002</v>
      </c>
    </row>
    <row r="42" spans="1:23" s="32" customFormat="1" ht="30" x14ac:dyDescent="0.3">
      <c r="A42" s="41"/>
      <c r="B42" s="44"/>
      <c r="C42" s="87"/>
      <c r="D42" s="87"/>
      <c r="E42" s="87"/>
      <c r="F42" s="42"/>
      <c r="G42" s="42"/>
      <c r="H42" s="42"/>
      <c r="I42" s="43"/>
      <c r="J42" s="88"/>
      <c r="K42" s="111">
        <v>17</v>
      </c>
      <c r="L42" s="112" t="s">
        <v>110</v>
      </c>
      <c r="M42" s="119">
        <v>925844</v>
      </c>
      <c r="N42" s="119">
        <f>M42</f>
        <v>925844</v>
      </c>
      <c r="O42" s="117" t="s">
        <v>44</v>
      </c>
      <c r="P42" s="119">
        <f>N42*100</f>
        <v>92584400</v>
      </c>
      <c r="Q42" s="120" t="s">
        <v>29</v>
      </c>
      <c r="R42" s="121">
        <f>P42/1000000</f>
        <v>92.584400000000002</v>
      </c>
      <c r="S42" s="128">
        <f>N42-[1]Blad1!$CJ$685-23271</f>
        <v>783288</v>
      </c>
      <c r="T42" s="117" t="s">
        <v>44</v>
      </c>
      <c r="U42" s="10">
        <f>S42*100</f>
        <v>78328800</v>
      </c>
      <c r="V42" s="18" t="s">
        <v>29</v>
      </c>
      <c r="W42" s="52">
        <f>U42/1000000</f>
        <v>78.328800000000001</v>
      </c>
    </row>
    <row r="43" spans="1:23" s="32" customFormat="1" ht="30" x14ac:dyDescent="0.3">
      <c r="A43" s="41"/>
      <c r="B43" s="44"/>
      <c r="C43" s="87"/>
      <c r="D43" s="87"/>
      <c r="E43" s="87"/>
      <c r="F43" s="42"/>
      <c r="G43" s="42"/>
      <c r="H43" s="42"/>
      <c r="I43" s="43"/>
      <c r="J43" s="88"/>
      <c r="K43" s="111">
        <v>18</v>
      </c>
      <c r="L43" s="112" t="s">
        <v>111</v>
      </c>
      <c r="M43" s="119">
        <v>560344</v>
      </c>
      <c r="N43" s="119">
        <f>M43</f>
        <v>560344</v>
      </c>
      <c r="O43" s="117" t="s">
        <v>26</v>
      </c>
      <c r="P43" s="119">
        <f>N43*500</f>
        <v>280172000</v>
      </c>
      <c r="Q43" s="120" t="s">
        <v>29</v>
      </c>
      <c r="R43" s="121">
        <f t="shared" ref="R43:R45" si="10">P43/1000000</f>
        <v>280.17200000000003</v>
      </c>
      <c r="S43" s="128">
        <f>N43-[1]Blad1!$CR$685-36764</f>
        <v>467696</v>
      </c>
      <c r="T43" s="117" t="s">
        <v>26</v>
      </c>
      <c r="U43" s="10">
        <f>S43*500</f>
        <v>233848000</v>
      </c>
      <c r="V43" s="18" t="s">
        <v>29</v>
      </c>
      <c r="W43" s="52">
        <f t="shared" ref="W43:W45" si="11">U43/1000000</f>
        <v>233.84800000000001</v>
      </c>
    </row>
    <row r="44" spans="1:23" s="32" customFormat="1" ht="30" x14ac:dyDescent="0.3">
      <c r="A44" s="41"/>
      <c r="B44" s="44"/>
      <c r="C44" s="87"/>
      <c r="D44" s="87"/>
      <c r="E44" s="87"/>
      <c r="F44" s="42"/>
      <c r="G44" s="42"/>
      <c r="H44" s="42"/>
      <c r="I44" s="43"/>
      <c r="J44" s="88"/>
      <c r="K44" s="111">
        <v>19</v>
      </c>
      <c r="L44" s="113" t="s">
        <v>112</v>
      </c>
      <c r="M44" s="119">
        <v>348837</v>
      </c>
      <c r="N44" s="117">
        <v>0</v>
      </c>
      <c r="O44" s="117" t="s">
        <v>27</v>
      </c>
      <c r="P44" s="119">
        <f>N44*400</f>
        <v>0</v>
      </c>
      <c r="Q44" s="120" t="s">
        <v>29</v>
      </c>
      <c r="R44" s="121">
        <f t="shared" si="10"/>
        <v>0</v>
      </c>
      <c r="S44" s="128">
        <v>0</v>
      </c>
      <c r="T44" s="117" t="s">
        <v>27</v>
      </c>
      <c r="U44" s="10">
        <f>S44*400</f>
        <v>0</v>
      </c>
      <c r="V44" s="18" t="s">
        <v>29</v>
      </c>
      <c r="W44" s="52">
        <f t="shared" si="11"/>
        <v>0</v>
      </c>
    </row>
    <row r="45" spans="1:23" s="32" customFormat="1" ht="30.75" thickBot="1" x14ac:dyDescent="0.35">
      <c r="A45" s="89"/>
      <c r="B45" s="90"/>
      <c r="C45" s="91"/>
      <c r="D45" s="91"/>
      <c r="E45" s="91"/>
      <c r="F45" s="92"/>
      <c r="G45" s="92"/>
      <c r="H45" s="92"/>
      <c r="I45" s="93"/>
      <c r="J45" s="94"/>
      <c r="K45" s="114">
        <v>20</v>
      </c>
      <c r="L45" s="115" t="s">
        <v>113</v>
      </c>
      <c r="M45" s="125">
        <v>343511</v>
      </c>
      <c r="N45" s="118">
        <f>M45</f>
        <v>343511</v>
      </c>
      <c r="O45" s="118" t="s">
        <v>27</v>
      </c>
      <c r="P45" s="125">
        <f>N45*400</f>
        <v>137404400</v>
      </c>
      <c r="Q45" s="123" t="s">
        <v>29</v>
      </c>
      <c r="R45" s="124">
        <f t="shared" si="10"/>
        <v>137.40440000000001</v>
      </c>
      <c r="S45" s="129">
        <f>N45-[1]Blad1!$CV$685-18959</f>
        <v>288086</v>
      </c>
      <c r="T45" s="118" t="s">
        <v>27</v>
      </c>
      <c r="U45" s="15">
        <f>S45*400</f>
        <v>115234400</v>
      </c>
      <c r="V45" s="24" t="s">
        <v>29</v>
      </c>
      <c r="W45" s="57">
        <f t="shared" si="11"/>
        <v>115.23439999999999</v>
      </c>
    </row>
    <row r="46" spans="1:23" s="32" customFormat="1" ht="21.75" thickBot="1" x14ac:dyDescent="0.35">
      <c r="A46" s="27"/>
      <c r="B46" s="28"/>
      <c r="C46" s="26"/>
      <c r="D46" s="26"/>
      <c r="E46" s="26"/>
      <c r="F46" s="26"/>
      <c r="G46" s="29"/>
      <c r="H46" s="29"/>
      <c r="I46" s="30"/>
      <c r="J46" s="29"/>
      <c r="K46" s="29"/>
      <c r="L46" s="104"/>
      <c r="M46" s="102"/>
      <c r="N46" s="29"/>
      <c r="O46" s="29"/>
      <c r="P46" s="29"/>
      <c r="Q46" s="29"/>
      <c r="R46" s="29"/>
      <c r="S46" s="29"/>
      <c r="T46" s="29"/>
      <c r="U46" s="26"/>
      <c r="V46" s="30"/>
      <c r="W46" s="53">
        <f>SUM(W4:W45)</f>
        <v>9159.7228999999988</v>
      </c>
    </row>
    <row r="47" spans="1:23" s="5" customFormat="1" ht="48" thickBot="1" x14ac:dyDescent="0.3">
      <c r="A47" s="12"/>
      <c r="B47" s="4" t="s">
        <v>14</v>
      </c>
      <c r="C47" s="13" t="s">
        <v>31</v>
      </c>
      <c r="D47" s="13" t="s">
        <v>32</v>
      </c>
      <c r="E47" s="13" t="s">
        <v>42</v>
      </c>
      <c r="F47" s="13" t="s">
        <v>59</v>
      </c>
      <c r="G47" s="64" t="s">
        <v>92</v>
      </c>
      <c r="H47" s="9" t="s">
        <v>13</v>
      </c>
      <c r="J47" s="12"/>
      <c r="K47" s="12"/>
      <c r="L47" s="104"/>
      <c r="M47" s="102"/>
      <c r="N47" s="12"/>
      <c r="O47" s="12"/>
      <c r="P47" s="12"/>
      <c r="Q47" s="12"/>
      <c r="R47" s="12"/>
      <c r="S47" s="6"/>
    </row>
    <row r="48" spans="1:23" ht="30" x14ac:dyDescent="0.25">
      <c r="B48" s="65" t="s">
        <v>81</v>
      </c>
      <c r="C48" s="61">
        <v>1</v>
      </c>
      <c r="D48" s="61" t="s">
        <v>38</v>
      </c>
      <c r="E48" s="75" t="s">
        <v>54</v>
      </c>
      <c r="F48" s="62" t="s">
        <v>77</v>
      </c>
      <c r="G48" s="63">
        <v>1.1399999999999999</v>
      </c>
      <c r="H48" s="66">
        <f>W4+W17+W26+W39</f>
        <v>3337.63636</v>
      </c>
      <c r="L48" s="104"/>
      <c r="M48" s="102"/>
      <c r="S48"/>
    </row>
    <row r="49" spans="2:19" ht="30" x14ac:dyDescent="0.25">
      <c r="B49" s="67" t="s">
        <v>19</v>
      </c>
      <c r="C49" s="58" t="s">
        <v>33</v>
      </c>
      <c r="D49" s="58" t="s">
        <v>37</v>
      </c>
      <c r="E49" s="76"/>
      <c r="F49" s="59">
        <v>2</v>
      </c>
      <c r="G49" s="60">
        <v>2</v>
      </c>
      <c r="H49" s="68">
        <f>W5+W27</f>
        <v>209.03699999999998</v>
      </c>
      <c r="L49" s="103"/>
      <c r="M49" s="102"/>
      <c r="S49"/>
    </row>
    <row r="50" spans="2:19" ht="60" x14ac:dyDescent="0.25">
      <c r="B50" s="67" t="s">
        <v>18</v>
      </c>
      <c r="C50" s="58" t="s">
        <v>36</v>
      </c>
      <c r="D50" s="58" t="s">
        <v>41</v>
      </c>
      <c r="E50" s="76" t="s">
        <v>55</v>
      </c>
      <c r="F50" s="59" t="s">
        <v>78</v>
      </c>
      <c r="G50" s="60" t="s">
        <v>116</v>
      </c>
      <c r="H50" s="68">
        <f>W7+W9+W10+W11+W22+W29+W31+W32+W33</f>
        <v>2490.2058000000002</v>
      </c>
      <c r="L50" s="103"/>
      <c r="M50" s="102"/>
      <c r="S50"/>
    </row>
    <row r="51" spans="2:19" ht="30" x14ac:dyDescent="0.25">
      <c r="B51" s="67" t="s">
        <v>52</v>
      </c>
      <c r="C51" s="58"/>
      <c r="D51" s="58"/>
      <c r="E51" s="76">
        <v>6</v>
      </c>
      <c r="F51" s="59"/>
      <c r="G51" s="60"/>
      <c r="H51" s="68"/>
      <c r="L51" s="104"/>
      <c r="M51" s="102"/>
      <c r="S51"/>
    </row>
    <row r="52" spans="2:19" s="11" customFormat="1" ht="30" x14ac:dyDescent="0.25">
      <c r="B52" s="67" t="s">
        <v>17</v>
      </c>
      <c r="C52" s="58" t="s">
        <v>34</v>
      </c>
      <c r="D52" s="58" t="s">
        <v>39</v>
      </c>
      <c r="E52" s="76" t="s">
        <v>53</v>
      </c>
      <c r="F52" s="59" t="s">
        <v>79</v>
      </c>
      <c r="G52" s="60" t="s">
        <v>117</v>
      </c>
      <c r="H52" s="68">
        <f>W12+W13+W14+W15+W16+W23+W34+W35+W36+W37+W38</f>
        <v>1753.7142200000001</v>
      </c>
      <c r="L52" s="103"/>
      <c r="M52" s="102"/>
    </row>
    <row r="53" spans="2:19" ht="45" x14ac:dyDescent="0.25">
      <c r="B53" s="67" t="s">
        <v>15</v>
      </c>
      <c r="C53" s="58" t="s">
        <v>35</v>
      </c>
      <c r="D53" s="58" t="s">
        <v>40</v>
      </c>
      <c r="E53" s="76" t="s">
        <v>56</v>
      </c>
      <c r="F53" s="59" t="s">
        <v>80</v>
      </c>
      <c r="G53" s="60" t="s">
        <v>118</v>
      </c>
      <c r="H53" s="68">
        <f>W6+W8+W18+W20+W21+W24+W25+W28+W30+W40+W42+W43+W44+W45</f>
        <v>1037.56888</v>
      </c>
      <c r="L53" s="103"/>
      <c r="M53" s="102"/>
      <c r="S53"/>
    </row>
    <row r="54" spans="2:19" ht="30.75" thickBot="1" x14ac:dyDescent="0.3">
      <c r="B54" s="69" t="s">
        <v>16</v>
      </c>
      <c r="C54" s="70">
        <v>11</v>
      </c>
      <c r="D54" s="70">
        <v>11</v>
      </c>
      <c r="E54" s="77">
        <v>17</v>
      </c>
      <c r="F54" s="71">
        <v>16</v>
      </c>
      <c r="G54" s="72">
        <v>16</v>
      </c>
      <c r="H54" s="73">
        <f>W41+W19</f>
        <v>331.56064000000003</v>
      </c>
      <c r="L54" s="104"/>
      <c r="M54" s="102"/>
      <c r="S54"/>
    </row>
    <row r="55" spans="2:19" ht="15.75" thickBot="1" x14ac:dyDescent="0.3">
      <c r="B55" s="137"/>
      <c r="C55" s="138"/>
      <c r="D55" s="138"/>
      <c r="E55" s="138"/>
      <c r="F55" s="138"/>
      <c r="G55" s="138"/>
      <c r="H55" s="130">
        <f>SUM(H48:H54)</f>
        <v>9159.7229000000007</v>
      </c>
      <c r="I55" s="74"/>
      <c r="L55" s="104"/>
      <c r="M55" s="102"/>
      <c r="S55"/>
    </row>
    <row r="56" spans="2:19" x14ac:dyDescent="0.25">
      <c r="L56" s="103"/>
      <c r="M56" s="102"/>
      <c r="S56"/>
    </row>
    <row r="57" spans="2:19" x14ac:dyDescent="0.25">
      <c r="L57" s="103"/>
      <c r="M57" s="102"/>
    </row>
    <row r="58" spans="2:19" x14ac:dyDescent="0.25">
      <c r="L58" s="103"/>
      <c r="M58" s="102"/>
    </row>
    <row r="59" spans="2:19" x14ac:dyDescent="0.25">
      <c r="L59" s="103"/>
      <c r="M59" s="102"/>
    </row>
    <row r="60" spans="2:19" x14ac:dyDescent="0.25">
      <c r="L60" s="103"/>
      <c r="M60" s="102"/>
    </row>
    <row r="61" spans="2:19" x14ac:dyDescent="0.25">
      <c r="L61" s="103"/>
      <c r="M61" s="102"/>
    </row>
    <row r="62" spans="2:19" x14ac:dyDescent="0.25">
      <c r="L62" s="103"/>
      <c r="M62" s="102"/>
    </row>
    <row r="63" spans="2:19" x14ac:dyDescent="0.25">
      <c r="L63" s="103"/>
      <c r="M63" s="102"/>
    </row>
    <row r="64" spans="2:19" x14ac:dyDescent="0.25">
      <c r="L64" s="103"/>
      <c r="M64" s="102"/>
    </row>
    <row r="65" spans="12:13" x14ac:dyDescent="0.25">
      <c r="L65" s="103"/>
      <c r="M65" s="102"/>
    </row>
    <row r="66" spans="12:13" x14ac:dyDescent="0.25">
      <c r="L66" s="103"/>
      <c r="M66" s="102"/>
    </row>
    <row r="67" spans="12:13" x14ac:dyDescent="0.25">
      <c r="L67" s="103"/>
      <c r="M67" s="102"/>
    </row>
    <row r="68" spans="12:13" x14ac:dyDescent="0.25">
      <c r="L68" s="103"/>
      <c r="M68" s="102"/>
    </row>
    <row r="69" spans="12:13" x14ac:dyDescent="0.25">
      <c r="L69" s="103"/>
      <c r="M69" s="102"/>
    </row>
    <row r="70" spans="12:13" x14ac:dyDescent="0.25">
      <c r="L70" s="103"/>
      <c r="M70" s="102"/>
    </row>
    <row r="71" spans="12:13" x14ac:dyDescent="0.25">
      <c r="L71" s="103"/>
      <c r="M71" s="102"/>
    </row>
    <row r="72" spans="12:13" x14ac:dyDescent="0.25">
      <c r="L72" s="103"/>
      <c r="M72" s="102"/>
    </row>
    <row r="73" spans="12:13" x14ac:dyDescent="0.25">
      <c r="L73" s="103"/>
      <c r="M73" s="102"/>
    </row>
    <row r="74" spans="12:13" x14ac:dyDescent="0.25">
      <c r="L74" s="103"/>
      <c r="M74" s="102"/>
    </row>
    <row r="75" spans="12:13" x14ac:dyDescent="0.25">
      <c r="L75" s="103"/>
      <c r="M75" s="102"/>
    </row>
    <row r="76" spans="12:13" x14ac:dyDescent="0.25">
      <c r="L76" s="103"/>
      <c r="M76" s="102"/>
    </row>
    <row r="77" spans="12:13" x14ac:dyDescent="0.25">
      <c r="L77" s="103"/>
      <c r="M77" s="102"/>
    </row>
    <row r="78" spans="12:13" x14ac:dyDescent="0.25">
      <c r="L78" s="103"/>
      <c r="M78" s="102"/>
    </row>
    <row r="79" spans="12:13" x14ac:dyDescent="0.25">
      <c r="L79" s="103"/>
      <c r="M79" s="102"/>
    </row>
    <row r="80" spans="12:13" x14ac:dyDescent="0.25">
      <c r="L80" s="103"/>
      <c r="M80" s="102"/>
    </row>
    <row r="81" spans="12:13" x14ac:dyDescent="0.25">
      <c r="L81" s="103"/>
      <c r="M81" s="102"/>
    </row>
    <row r="82" spans="12:13" x14ac:dyDescent="0.25">
      <c r="L82" s="103"/>
      <c r="M82" s="102"/>
    </row>
    <row r="83" spans="12:13" x14ac:dyDescent="0.25">
      <c r="L83" s="103"/>
      <c r="M83" s="102"/>
    </row>
    <row r="84" spans="12:13" x14ac:dyDescent="0.25">
      <c r="L84" s="103"/>
      <c r="M84" s="102"/>
    </row>
  </sheetData>
  <mergeCells count="4">
    <mergeCell ref="S1:W1"/>
    <mergeCell ref="A1:J1"/>
    <mergeCell ref="B55:G55"/>
    <mergeCell ref="K1:R1"/>
  </mergeCells>
  <pageMargins left="0.7" right="0.7" top="0.75" bottom="0.75" header="0.3" footer="0.3"/>
  <pageSetup paperSize="9" orientation="portrait" r:id="rId1"/>
  <ignoredErrors>
    <ignoredError sqref="E48:F48 C49:C50 C52:C53 D53" twoDigitTextYear="1"/>
    <ignoredError sqref="H7 P29 W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2015-06-17T16:34:12Z</dcterms:created>
  <dcterms:modified xsi:type="dcterms:W3CDTF">2020-09-18T20:27:41Z</dcterms:modified>
</cp:coreProperties>
</file>