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2. FEAD\14. Monitoring et statistiques\1. Annual Implementation Report\AIR 2020\"/>
    </mc:Choice>
  </mc:AlternateContent>
  <xr:revisionPtr revIDLastSave="0" documentId="13_ncr:1_{B6550B8E-39B8-4019-9568-06FEF320E079}" xr6:coauthVersionLast="45" xr6:coauthVersionMax="45" xr10:uidLastSave="{00000000-0000-0000-0000-000000000000}"/>
  <bookViews>
    <workbookView xWindow="-120" yWindow="-120" windowWidth="25440" windowHeight="15390" xr2:uid="{EDAE1734-2270-4FEE-8A37-F28113240C15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1" l="1"/>
  <c r="I44" i="1"/>
  <c r="I49" i="1"/>
  <c r="I46" i="1"/>
  <c r="I45" i="1"/>
  <c r="I50" i="1"/>
  <c r="R41" i="1"/>
  <c r="R40" i="1"/>
  <c r="R39" i="1"/>
  <c r="R38" i="1"/>
  <c r="R37" i="1"/>
  <c r="R36" i="1"/>
  <c r="R35" i="1" l="1"/>
  <c r="R34" i="1"/>
  <c r="R33" i="1"/>
  <c r="R31" i="1"/>
  <c r="R30" i="1"/>
  <c r="R29" i="1"/>
  <c r="R28" i="1"/>
  <c r="R27" i="1"/>
  <c r="R26" i="1"/>
  <c r="R25" i="1"/>
  <c r="R24" i="1"/>
  <c r="V40" i="1" l="1"/>
  <c r="V39" i="1"/>
  <c r="T41" i="1"/>
  <c r="V41" i="1" s="1"/>
  <c r="T40" i="1"/>
  <c r="T39" i="1"/>
  <c r="T38" i="1"/>
  <c r="V38" i="1" s="1"/>
  <c r="T37" i="1"/>
  <c r="V37" i="1" s="1"/>
  <c r="T36" i="1"/>
  <c r="V36" i="1" s="1"/>
  <c r="T35" i="1"/>
  <c r="V35" i="1" s="1"/>
  <c r="T34" i="1"/>
  <c r="V34" i="1" s="1"/>
  <c r="T33" i="1"/>
  <c r="V33" i="1" s="1"/>
  <c r="T32" i="1"/>
  <c r="V32" i="1" s="1"/>
  <c r="T31" i="1"/>
  <c r="V31" i="1" s="1"/>
  <c r="T30" i="1"/>
  <c r="V30" i="1" s="1"/>
  <c r="T29" i="1"/>
  <c r="V29" i="1" s="1"/>
  <c r="T28" i="1"/>
  <c r="V28" i="1" s="1"/>
  <c r="T27" i="1"/>
  <c r="V27" i="1" s="1"/>
  <c r="T26" i="1"/>
  <c r="V26" i="1" s="1"/>
  <c r="T25" i="1"/>
  <c r="V25" i="1" s="1"/>
  <c r="T24" i="1"/>
  <c r="V24" i="1" s="1"/>
  <c r="Q41" i="1"/>
  <c r="Q40" i="1"/>
  <c r="Q39" i="1"/>
  <c r="Q38" i="1"/>
  <c r="Q37" i="1"/>
  <c r="Q36" i="1"/>
  <c r="Q26" i="1"/>
  <c r="Q27" i="1"/>
  <c r="Q28" i="1"/>
  <c r="Q29" i="1"/>
  <c r="Q30" i="1"/>
  <c r="Q31" i="1"/>
  <c r="Q32" i="1"/>
  <c r="Q33" i="1"/>
  <c r="Q34" i="1"/>
  <c r="Q35" i="1"/>
  <c r="Q25" i="1"/>
  <c r="Q24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M36" i="1"/>
  <c r="M37" i="1"/>
  <c r="M38" i="1"/>
  <c r="M39" i="1"/>
  <c r="M40" i="1"/>
  <c r="M41" i="1"/>
  <c r="M35" i="1"/>
  <c r="M34" i="1"/>
  <c r="M33" i="1"/>
  <c r="M32" i="1"/>
  <c r="M31" i="1"/>
  <c r="M30" i="1"/>
  <c r="M29" i="1"/>
  <c r="M28" i="1"/>
  <c r="M27" i="1"/>
  <c r="M26" i="1"/>
  <c r="I48" i="1" l="1"/>
  <c r="I51" i="1" s="1"/>
  <c r="V42" i="1"/>
  <c r="M25" i="1"/>
  <c r="M24" i="1"/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4" i="1"/>
  <c r="I21" i="1"/>
  <c r="I22" i="1"/>
  <c r="I23" i="1"/>
  <c r="I20" i="1"/>
  <c r="I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I4" i="1" l="1"/>
  <c r="G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</calcChain>
</file>

<file path=xl/sharedStrings.xml><?xml version="1.0" encoding="utf-8"?>
<sst xmlns="http://schemas.openxmlformats.org/spreadsheetml/2006/main" count="278" uniqueCount="117">
  <si>
    <t>Lot</t>
  </si>
  <si>
    <t>Produit</t>
  </si>
  <si>
    <t>Emballage unité</t>
  </si>
  <si>
    <t>Unité</t>
  </si>
  <si>
    <t>Conversion en tonnes</t>
  </si>
  <si>
    <t>Perceel</t>
  </si>
  <si>
    <t>Product</t>
  </si>
  <si>
    <t>Verpakking eenheid</t>
  </si>
  <si>
    <t>Eenheid</t>
  </si>
  <si>
    <t>Omzetting naar ton</t>
  </si>
  <si>
    <t>Lait demi-écrémé
Halfvolle melk</t>
  </si>
  <si>
    <t>1l</t>
  </si>
  <si>
    <t>Litre
Liter</t>
  </si>
  <si>
    <t>Sardines à l'huile d'olive
Sardienen in olijfolie</t>
  </si>
  <si>
    <t>125g</t>
  </si>
  <si>
    <t>Gramme
Gram</t>
  </si>
  <si>
    <t>Salade de riz au thon issu de la pêche durable
Rijstsalade met tonijn afkomstig van duurzame visvangst</t>
  </si>
  <si>
    <t>260g</t>
  </si>
  <si>
    <t>Farine de blé
Tarwemeel</t>
  </si>
  <si>
    <t>1000g</t>
  </si>
  <si>
    <t>Café moulu 100% arabica issu du commerce équitable
Gemalen koffie 100% arabica fairtrade</t>
  </si>
  <si>
    <t>250g</t>
  </si>
  <si>
    <t>Pâtes: spaghetti 
Pasta: spaghetti</t>
  </si>
  <si>
    <t>Riz
Rijst</t>
  </si>
  <si>
    <t>Tomates pelées
Gepelde tomaten</t>
  </si>
  <si>
    <t>400g</t>
  </si>
  <si>
    <t>Haricots verts en conserve
Sperziebonen</t>
  </si>
  <si>
    <t>800g</t>
  </si>
  <si>
    <t>Petits pois
Erwten</t>
  </si>
  <si>
    <t>Pois chiches
Kikkererwten</t>
  </si>
  <si>
    <t>Confiture de fraises
Confituur van aardbeien</t>
  </si>
  <si>
    <t>460g</t>
  </si>
  <si>
    <t>Huile d’olive
Olijfolie</t>
  </si>
  <si>
    <t>0,5l</t>
  </si>
  <si>
    <t>Biscuits secs type petits beurre
Droge koekjes type petit beurre</t>
  </si>
  <si>
    <t>200g</t>
  </si>
  <si>
    <t>Chocolat au lait issu du commerce équitable
Fairtrade melkchocolade</t>
  </si>
  <si>
    <t>100g</t>
  </si>
  <si>
    <t>Soupe
Soep</t>
  </si>
  <si>
    <t>Pétales de blé au chocolat
Tarwevlokken met chocolade</t>
  </si>
  <si>
    <t>500g</t>
  </si>
  <si>
    <t>Chili con carne</t>
  </si>
  <si>
    <t>Volume total</t>
  </si>
  <si>
    <t>Totaal volume</t>
  </si>
  <si>
    <t xml:space="preserve">Unités achétées à la base - livrées en 2019 et 2020 </t>
  </si>
  <si>
    <t>Hoeveelheden aangekocht aan de basis geleverd in 2019 en 2020</t>
  </si>
  <si>
    <t>Unités distribuées en 2019</t>
  </si>
  <si>
    <t>Hoeveelheden verdeeld in 2019</t>
  </si>
  <si>
    <t>Unités résiduelles campagne 2018</t>
  </si>
  <si>
    <t>Resterende eenheden campagne 2018</t>
  </si>
  <si>
    <t>QUANTITES RESIDUELLES CAMPAGNE 2018
RESTERENDE HOEVEELHEDEN CAMPAGNE 2018</t>
  </si>
  <si>
    <t>Maquereaux à l'huile de tournesol
Makreel in zonnebloemolie</t>
  </si>
  <si>
    <t>Pâtes: spaghetti biologiques
Pasta: biologische spaghetti</t>
  </si>
  <si>
    <t>Pâtes: proposition libre
Pasta: vrij voorstel</t>
  </si>
  <si>
    <t>Haricots verts 
Sperziebonen</t>
  </si>
  <si>
    <t>Macédoine de légumes
Groentemacedoine</t>
  </si>
  <si>
    <t>Haricots rouges
Rode bonen</t>
  </si>
  <si>
    <t>Mousseline de pomme
Appelmousseline</t>
  </si>
  <si>
    <t>Fromage fondu à tartiner
Smeerbare smeltkaas</t>
  </si>
  <si>
    <t>Confiture de fraises
Aardbeienconfituur</t>
  </si>
  <si>
    <t>Chocolat noir issu du commerce équitable
Pure fairtrade chocolade</t>
  </si>
  <si>
    <t>Muesli aux fruits secs
Muesli met gedroogd fruit</t>
  </si>
  <si>
    <t>Poulet aux olives et citron
Kip met olijven en citroen</t>
  </si>
  <si>
    <t>Boulettes à la sauce tomate
Balletjes in tomatensaus</t>
  </si>
  <si>
    <t>420g</t>
  </si>
  <si>
    <t>140g</t>
  </si>
  <si>
    <t>Unités livrées au 31/12/2020</t>
  </si>
  <si>
    <t>Eenheden reeds geleverd op 31/12/2020</t>
  </si>
  <si>
    <t>Volume total livré au 31/12/2020</t>
  </si>
  <si>
    <t>Totaal volume geleverd op 31/12/2020</t>
  </si>
  <si>
    <t>QUANTITES RESIDUELLES CAMPAGNE 2019
RESTERENDE HOEVEELHEDEN CAMPAGNE 2019</t>
  </si>
  <si>
    <t>Unités distribuées</t>
  </si>
  <si>
    <t>Verdeelde 
eenheden</t>
  </si>
  <si>
    <t>Verpakking 
eenheid</t>
  </si>
  <si>
    <t>Omzetting 
naar ton</t>
  </si>
  <si>
    <t>QUANTITES DISTRIBUEES 2020
VERDEELDE HOEVEELHEDEN 2020</t>
  </si>
  <si>
    <t>Lien avec les indicateurs de réalisation
Link met outputindicatoren</t>
  </si>
  <si>
    <t>Lots 2014
Percelen 2014</t>
  </si>
  <si>
    <t>Lots 2015
Percelen 2015</t>
  </si>
  <si>
    <t>Lots 2016
Percelen 2016</t>
  </si>
  <si>
    <t>Lots 2017
Percelen 2017</t>
  </si>
  <si>
    <t>Lots 2018
Percelen 2018</t>
  </si>
  <si>
    <t>Tonnes
Ton</t>
  </si>
  <si>
    <t>Produits laitiers
Zuivelproducten</t>
  </si>
  <si>
    <t>1, 9</t>
  </si>
  <si>
    <t>1, 15</t>
  </si>
  <si>
    <t>1, 14</t>
  </si>
  <si>
    <t>Viandes, œufs, poissons et fruits de mer
Vlees, eieren, vis, schaal- en schelpdieren</t>
  </si>
  <si>
    <t>2, 3, 4</t>
  </si>
  <si>
    <t>2, 4</t>
  </si>
  <si>
    <t>Farine, pain, pommes de terre, riz et autres produits riches en amidon
Meel, brood, aardappelen, rijst en andere zetmeelhoudende producten</t>
  </si>
  <si>
    <t>5, 6, 13</t>
  </si>
  <si>
    <t>5, 6, 13, 14</t>
  </si>
  <si>
    <t>5, 7, 8, 9, 21</t>
  </si>
  <si>
    <t>4, 6, 7, 8, 19</t>
  </si>
  <si>
    <t>4,6,7,8</t>
  </si>
  <si>
    <t>Quantité de sucre
Hoeveelheid suiker</t>
  </si>
  <si>
    <t>Fruits et légumes
Fruit en groeten</t>
  </si>
  <si>
    <t>7 , 8, 9</t>
  </si>
  <si>
    <t>3, 7, 8, 10</t>
  </si>
  <si>
    <t>10, 11, 12, 13</t>
  </si>
  <si>
    <t>9, 10, 11, 12, 13, 20</t>
  </si>
  <si>
    <t>9,10,11,12,13</t>
  </si>
  <si>
    <t>Plats cuisinés, autres denrées alimentaires (qui ne relèvent pas des catégories susmentionnées)
Kant-en-klare levensmiddelen, andere levensmiddelen</t>
  </si>
  <si>
    <t>10, 12, 14</t>
  </si>
  <si>
    <t>12, 15</t>
  </si>
  <si>
    <t>3,4, 16, 18, 19, 20</t>
  </si>
  <si>
    <t>3, 5, 15, 17, 18, 21, 22</t>
  </si>
  <si>
    <t>3,5,15,17,18,19,20</t>
  </si>
  <si>
    <t>Graisses, huiles
Vet, olie</t>
  </si>
  <si>
    <t>Lots 2019
Percelen 2019</t>
  </si>
  <si>
    <t>4, 6, 7</t>
  </si>
  <si>
    <t>13</t>
  </si>
  <si>
    <t>1</t>
  </si>
  <si>
    <t>2</t>
  </si>
  <si>
    <t>8, 9, 10, 11, 16</t>
  </si>
  <si>
    <t>3, 5, 12, 14, 15, 17, 18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</si>
</sst>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0" fillId="2" borderId="8" xfId="0" applyNumberFormat="1" applyFill="1" applyBorder="1" applyAlignment="1">
      <alignment vertical="center"/>
    </xf>
    <xf numFmtId="4" fontId="0" fillId="2" borderId="16" xfId="0" applyNumberForma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4" fontId="3" fillId="3" borderId="5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4" fontId="3" fillId="3" borderId="8" xfId="0" applyNumberFormat="1" applyFont="1" applyFill="1" applyBorder="1" applyAlignment="1">
      <alignment horizontal="left" vertical="center" wrapText="1"/>
    </xf>
    <xf numFmtId="3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23" xfId="0" applyNumberFormat="1" applyFill="1" applyBorder="1" applyAlignment="1">
      <alignment vertical="center"/>
    </xf>
    <xf numFmtId="0" fontId="0" fillId="0" borderId="9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0" xfId="0" applyFill="1" applyBorder="1"/>
    <xf numFmtId="3" fontId="0" fillId="0" borderId="8" xfId="0" applyNumberFormat="1" applyBorder="1" applyAlignment="1">
      <alignment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0" fillId="2" borderId="1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164" fontId="3" fillId="3" borderId="13" xfId="0" applyNumberFormat="1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left" vertical="center" wrapText="1"/>
    </xf>
    <xf numFmtId="3" fontId="3" fillId="3" borderId="8" xfId="0" applyNumberFormat="1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left" vertical="center" wrapText="1"/>
    </xf>
    <xf numFmtId="164" fontId="3" fillId="3" borderId="18" xfId="0" applyNumberFormat="1" applyFont="1" applyFill="1" applyBorder="1" applyAlignment="1">
      <alignment horizontal="lef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0" fillId="2" borderId="8" xfId="0" applyFill="1" applyBorder="1" applyAlignment="1">
      <alignment horizontal="right"/>
    </xf>
    <xf numFmtId="4" fontId="0" fillId="0" borderId="9" xfId="0" applyNumberFormat="1" applyBorder="1"/>
    <xf numFmtId="4" fontId="4" fillId="0" borderId="30" xfId="0" applyNumberFormat="1" applyFont="1" applyBorder="1"/>
    <xf numFmtId="4" fontId="3" fillId="0" borderId="6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8" xfId="0" applyNumberFormat="1" applyBorder="1"/>
    <xf numFmtId="3" fontId="0" fillId="0" borderId="19" xfId="0" applyNumberFormat="1" applyBorder="1"/>
    <xf numFmtId="3" fontId="0" fillId="0" borderId="5" xfId="0" applyNumberFormat="1" applyBorder="1"/>
    <xf numFmtId="3" fontId="0" fillId="0" borderId="31" xfId="0" applyNumberFormat="1" applyBorder="1" applyAlignment="1">
      <alignment vertical="center"/>
    </xf>
    <xf numFmtId="4" fontId="0" fillId="0" borderId="6" xfId="0" applyNumberFormat="1" applyBorder="1"/>
    <xf numFmtId="4" fontId="0" fillId="0" borderId="20" xfId="0" applyNumberFormat="1" applyBorder="1"/>
    <xf numFmtId="4" fontId="0" fillId="0" borderId="0" xfId="0" applyNumberFormat="1"/>
    <xf numFmtId="4" fontId="4" fillId="0" borderId="0" xfId="0" applyNumberFormat="1" applyFont="1"/>
    <xf numFmtId="0" fontId="0" fillId="0" borderId="4" xfId="0" applyBorder="1" applyAlignment="1">
      <alignment wrapText="1"/>
    </xf>
    <xf numFmtId="0" fontId="0" fillId="2" borderId="5" xfId="0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2" borderId="19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9" xfId="0" applyBorder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29" xfId="0" applyNumberFormat="1" applyBorder="1" applyAlignment="1">
      <alignment horizontal="right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4" fillId="4" borderId="24" xfId="0" applyNumberFormat="1" applyFont="1" applyFill="1" applyBorder="1" applyAlignment="1">
      <alignment horizontal="center"/>
    </xf>
    <xf numFmtId="4" fontId="4" fillId="4" borderId="25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werkenStocks31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erkenStocks31122020"/>
    </sheetNames>
    <sheetDataSet>
      <sheetData sheetId="0">
        <row r="702">
          <cell r="AM702">
            <v>524625</v>
          </cell>
          <cell r="AQ702">
            <v>359937</v>
          </cell>
          <cell r="AU702">
            <v>244835</v>
          </cell>
          <cell r="AY702">
            <v>264869</v>
          </cell>
          <cell r="BC702">
            <v>223975</v>
          </cell>
          <cell r="BG702">
            <v>522783</v>
          </cell>
          <cell r="BK702">
            <v>360194</v>
          </cell>
          <cell r="BO702">
            <v>603554</v>
          </cell>
          <cell r="BS702">
            <v>273574</v>
          </cell>
          <cell r="BW702">
            <v>257686</v>
          </cell>
          <cell r="CA702">
            <v>152488</v>
          </cell>
          <cell r="CE702">
            <v>213908</v>
          </cell>
          <cell r="CI702">
            <v>216857</v>
          </cell>
          <cell r="CM702">
            <v>147258</v>
          </cell>
          <cell r="CQ702">
            <v>317761</v>
          </cell>
          <cell r="CU702">
            <v>185018</v>
          </cell>
          <cell r="CY702">
            <v>116219</v>
          </cell>
          <cell r="DC702">
            <v>130081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421B-393A-41AC-A16C-1CAAD5A574C5}">
  <dimension ref="A1:V51"/>
  <sheetViews>
    <sheetView tabSelected="1" topLeftCell="A37" zoomScale="70" zoomScaleNormal="70" workbookViewId="0">
      <selection activeCell="I49" sqref="I49"/>
    </sheetView>
  </sheetViews>
  <sheetFormatPr defaultRowHeight="15" x14ac:dyDescent="0.25"/>
  <cols>
    <col min="1" max="1" width="8.140625" customWidth="1"/>
    <col min="2" max="2" width="57.7109375" customWidth="1"/>
    <col min="3" max="4" width="16.28515625" customWidth="1"/>
    <col min="5" max="5" width="17.140625" customWidth="1"/>
    <col min="6" max="6" width="12.140625" customWidth="1"/>
    <col min="7" max="7" width="19.28515625" customWidth="1"/>
    <col min="8" max="8" width="21.42578125" customWidth="1"/>
    <col min="9" max="9" width="17.42578125" customWidth="1"/>
    <col min="10" max="10" width="8.140625" customWidth="1"/>
    <col min="11" max="11" width="57.7109375" customWidth="1"/>
    <col min="12" max="13" width="16.28515625" customWidth="1"/>
    <col min="14" max="14" width="12.140625" customWidth="1"/>
    <col min="15" max="15" width="19.28515625" customWidth="1"/>
    <col min="16" max="16" width="10.28515625" customWidth="1"/>
    <col min="17" max="17" width="11.28515625" customWidth="1"/>
    <col min="18" max="18" width="14.42578125" customWidth="1"/>
    <col min="19" max="19" width="12.140625" customWidth="1"/>
    <col min="20" max="20" width="14.5703125" customWidth="1"/>
    <col min="21" max="21" width="10.28515625" customWidth="1"/>
    <col min="22" max="22" width="15.42578125" customWidth="1"/>
  </cols>
  <sheetData>
    <row r="1" spans="1:22" ht="48.75" customHeight="1" thickBot="1" x14ac:dyDescent="0.3">
      <c r="A1" s="87" t="s">
        <v>50</v>
      </c>
      <c r="B1" s="88"/>
      <c r="C1" s="88"/>
      <c r="D1" s="88"/>
      <c r="E1" s="88"/>
      <c r="F1" s="88"/>
      <c r="G1" s="88"/>
      <c r="H1" s="88"/>
      <c r="I1" s="89"/>
      <c r="J1" s="87" t="s">
        <v>70</v>
      </c>
      <c r="K1" s="88"/>
      <c r="L1" s="88"/>
      <c r="M1" s="88"/>
      <c r="N1" s="88"/>
      <c r="O1" s="88"/>
      <c r="P1" s="88"/>
      <c r="Q1" s="89"/>
      <c r="R1" s="87" t="s">
        <v>75</v>
      </c>
      <c r="S1" s="88"/>
      <c r="T1" s="88"/>
      <c r="U1" s="88"/>
      <c r="V1" s="89"/>
    </row>
    <row r="2" spans="1:22" ht="79.5" thickBot="1" x14ac:dyDescent="0.3">
      <c r="A2" s="1" t="s">
        <v>0</v>
      </c>
      <c r="B2" s="2" t="s">
        <v>1</v>
      </c>
      <c r="C2" s="2" t="s">
        <v>44</v>
      </c>
      <c r="D2" s="2" t="s">
        <v>46</v>
      </c>
      <c r="E2" s="2" t="s">
        <v>48</v>
      </c>
      <c r="F2" s="2" t="s">
        <v>2</v>
      </c>
      <c r="G2" s="2" t="s">
        <v>42</v>
      </c>
      <c r="H2" s="3" t="s">
        <v>3</v>
      </c>
      <c r="I2" s="4" t="s">
        <v>4</v>
      </c>
      <c r="J2" s="1" t="s">
        <v>0</v>
      </c>
      <c r="K2" s="2" t="s">
        <v>1</v>
      </c>
      <c r="L2" s="2" t="s">
        <v>44</v>
      </c>
      <c r="M2" s="2" t="s">
        <v>66</v>
      </c>
      <c r="N2" s="2" t="s">
        <v>2</v>
      </c>
      <c r="O2" s="2" t="s">
        <v>68</v>
      </c>
      <c r="P2" s="3" t="s">
        <v>3</v>
      </c>
      <c r="Q2" s="4" t="s">
        <v>4</v>
      </c>
      <c r="R2" s="42" t="s">
        <v>71</v>
      </c>
      <c r="S2" s="43" t="s">
        <v>2</v>
      </c>
      <c r="T2" s="2" t="s">
        <v>42</v>
      </c>
      <c r="U2" s="3" t="s">
        <v>3</v>
      </c>
      <c r="V2" s="4" t="s">
        <v>4</v>
      </c>
    </row>
    <row r="3" spans="1:22" ht="79.5" thickBot="1" x14ac:dyDescent="0.3">
      <c r="A3" s="1" t="s">
        <v>5</v>
      </c>
      <c r="B3" s="2" t="s">
        <v>6</v>
      </c>
      <c r="C3" s="2" t="s">
        <v>45</v>
      </c>
      <c r="D3" s="2" t="s">
        <v>47</v>
      </c>
      <c r="E3" s="2" t="s">
        <v>49</v>
      </c>
      <c r="F3" s="2" t="s">
        <v>7</v>
      </c>
      <c r="G3" s="2" t="s">
        <v>43</v>
      </c>
      <c r="H3" s="3" t="s">
        <v>8</v>
      </c>
      <c r="I3" s="4" t="s">
        <v>9</v>
      </c>
      <c r="J3" s="1" t="s">
        <v>5</v>
      </c>
      <c r="K3" s="2" t="s">
        <v>6</v>
      </c>
      <c r="L3" s="2" t="s">
        <v>45</v>
      </c>
      <c r="M3" s="2" t="s">
        <v>67</v>
      </c>
      <c r="N3" s="2" t="s">
        <v>7</v>
      </c>
      <c r="O3" s="2" t="s">
        <v>69</v>
      </c>
      <c r="P3" s="3" t="s">
        <v>8</v>
      </c>
      <c r="Q3" s="4" t="s">
        <v>9</v>
      </c>
      <c r="R3" s="49" t="s">
        <v>72</v>
      </c>
      <c r="S3" s="44" t="s">
        <v>73</v>
      </c>
      <c r="T3" s="44" t="s">
        <v>43</v>
      </c>
      <c r="U3" s="45" t="s">
        <v>8</v>
      </c>
      <c r="V3" s="46" t="s">
        <v>74</v>
      </c>
    </row>
    <row r="4" spans="1:22" ht="30" x14ac:dyDescent="0.25">
      <c r="A4" s="7">
        <v>1</v>
      </c>
      <c r="B4" s="8" t="s">
        <v>10</v>
      </c>
      <c r="C4" s="9">
        <v>3174603</v>
      </c>
      <c r="D4" s="9">
        <v>2440368</v>
      </c>
      <c r="E4" s="37">
        <f>C4-D4</f>
        <v>734235</v>
      </c>
      <c r="F4" s="9" t="s">
        <v>11</v>
      </c>
      <c r="G4" s="37">
        <f>E4</f>
        <v>734235</v>
      </c>
      <c r="H4" s="32" t="s">
        <v>12</v>
      </c>
      <c r="I4" s="38">
        <f>G4/1000*1.03</f>
        <v>756.26205000000004</v>
      </c>
      <c r="J4" s="19"/>
      <c r="K4" s="6"/>
      <c r="L4" s="6"/>
      <c r="M4" s="6"/>
      <c r="N4" s="6"/>
      <c r="O4" s="6"/>
      <c r="P4" s="6"/>
      <c r="Q4" s="47"/>
      <c r="R4" s="50">
        <f>E4</f>
        <v>734235</v>
      </c>
      <c r="S4" s="9" t="s">
        <v>11</v>
      </c>
      <c r="T4" s="37">
        <f>G4</f>
        <v>734235</v>
      </c>
      <c r="U4" s="32" t="s">
        <v>12</v>
      </c>
      <c r="V4" s="38">
        <f>I4</f>
        <v>756.26205000000004</v>
      </c>
    </row>
    <row r="5" spans="1:22" ht="30" x14ac:dyDescent="0.25">
      <c r="A5" s="10">
        <v>2</v>
      </c>
      <c r="B5" s="11" t="s">
        <v>51</v>
      </c>
      <c r="C5" s="12">
        <v>1923076</v>
      </c>
      <c r="D5" s="12">
        <v>1314396</v>
      </c>
      <c r="E5" s="31">
        <f t="shared" ref="E5:E23" si="0">C5-D5</f>
        <v>608680</v>
      </c>
      <c r="F5" s="17" t="s">
        <v>14</v>
      </c>
      <c r="G5" s="31">
        <f>E5*125</f>
        <v>76085000</v>
      </c>
      <c r="H5" s="33" t="s">
        <v>15</v>
      </c>
      <c r="I5" s="39">
        <f>G5/1000000</f>
        <v>76.084999999999994</v>
      </c>
      <c r="J5" s="20"/>
      <c r="K5" s="5"/>
      <c r="L5" s="5"/>
      <c r="M5" s="5"/>
      <c r="N5" s="5"/>
      <c r="O5" s="5"/>
      <c r="P5" s="5"/>
      <c r="Q5" s="48"/>
      <c r="R5" s="51">
        <f t="shared" ref="R5:R23" si="1">E5</f>
        <v>608680</v>
      </c>
      <c r="S5" s="17" t="s">
        <v>14</v>
      </c>
      <c r="T5" s="31">
        <f t="shared" ref="T5:T23" si="2">G5</f>
        <v>76085000</v>
      </c>
      <c r="U5" s="33" t="s">
        <v>15</v>
      </c>
      <c r="V5" s="39">
        <f t="shared" ref="V5:V23" si="3">I5</f>
        <v>76.084999999999994</v>
      </c>
    </row>
    <row r="6" spans="1:22" ht="30" x14ac:dyDescent="0.25">
      <c r="A6" s="10">
        <v>3</v>
      </c>
      <c r="B6" s="11" t="s">
        <v>16</v>
      </c>
      <c r="C6" s="12">
        <v>908906</v>
      </c>
      <c r="D6" s="12">
        <v>409029</v>
      </c>
      <c r="E6" s="31">
        <f t="shared" si="0"/>
        <v>499877</v>
      </c>
      <c r="F6" s="17" t="s">
        <v>21</v>
      </c>
      <c r="G6" s="31">
        <f>E6*250</f>
        <v>124969250</v>
      </c>
      <c r="H6" s="33" t="s">
        <v>15</v>
      </c>
      <c r="I6" s="39">
        <f t="shared" ref="I6:I18" si="4">G6/1000000</f>
        <v>124.96925</v>
      </c>
      <c r="J6" s="20"/>
      <c r="K6" s="5"/>
      <c r="L6" s="5"/>
      <c r="M6" s="5"/>
      <c r="N6" s="5"/>
      <c r="O6" s="5"/>
      <c r="P6" s="5"/>
      <c r="Q6" s="48"/>
      <c r="R6" s="51">
        <f t="shared" si="1"/>
        <v>499877</v>
      </c>
      <c r="S6" s="17" t="s">
        <v>21</v>
      </c>
      <c r="T6" s="31">
        <f t="shared" si="2"/>
        <v>124969250</v>
      </c>
      <c r="U6" s="33" t="s">
        <v>15</v>
      </c>
      <c r="V6" s="39">
        <f t="shared" si="3"/>
        <v>124.96925</v>
      </c>
    </row>
    <row r="7" spans="1:22" ht="30" x14ac:dyDescent="0.25">
      <c r="A7" s="10">
        <v>4</v>
      </c>
      <c r="B7" s="11" t="s">
        <v>18</v>
      </c>
      <c r="C7" s="12">
        <v>593220</v>
      </c>
      <c r="D7" s="12">
        <v>525633</v>
      </c>
      <c r="E7" s="31">
        <f t="shared" si="0"/>
        <v>67587</v>
      </c>
      <c r="F7" s="17" t="s">
        <v>37</v>
      </c>
      <c r="G7" s="31">
        <f>E7*100</f>
        <v>6758700</v>
      </c>
      <c r="H7" s="33" t="s">
        <v>15</v>
      </c>
      <c r="I7" s="39">
        <f t="shared" si="4"/>
        <v>6.7587000000000002</v>
      </c>
      <c r="J7" s="20"/>
      <c r="K7" s="5"/>
      <c r="L7" s="5"/>
      <c r="M7" s="5"/>
      <c r="N7" s="5"/>
      <c r="O7" s="5"/>
      <c r="P7" s="5"/>
      <c r="Q7" s="48"/>
      <c r="R7" s="51">
        <f t="shared" si="1"/>
        <v>67587</v>
      </c>
      <c r="S7" s="17" t="s">
        <v>37</v>
      </c>
      <c r="T7" s="31">
        <f t="shared" si="2"/>
        <v>6758700</v>
      </c>
      <c r="U7" s="33" t="s">
        <v>15</v>
      </c>
      <c r="V7" s="39">
        <f t="shared" si="3"/>
        <v>6.7587000000000002</v>
      </c>
    </row>
    <row r="8" spans="1:22" ht="30" x14ac:dyDescent="0.25">
      <c r="A8" s="10">
        <v>5</v>
      </c>
      <c r="B8" s="11" t="s">
        <v>20</v>
      </c>
      <c r="C8" s="12">
        <v>747663</v>
      </c>
      <c r="D8" s="12">
        <v>449000</v>
      </c>
      <c r="E8" s="31">
        <f t="shared" si="0"/>
        <v>298663</v>
      </c>
      <c r="F8" s="17" t="s">
        <v>21</v>
      </c>
      <c r="G8" s="31">
        <f>E8*250</f>
        <v>74665750</v>
      </c>
      <c r="H8" s="34" t="s">
        <v>15</v>
      </c>
      <c r="I8" s="39">
        <f t="shared" si="4"/>
        <v>74.665750000000003</v>
      </c>
      <c r="J8" s="20"/>
      <c r="K8" s="5"/>
      <c r="L8" s="5"/>
      <c r="M8" s="5"/>
      <c r="N8" s="5"/>
      <c r="O8" s="5"/>
      <c r="P8" s="5"/>
      <c r="Q8" s="48"/>
      <c r="R8" s="51">
        <f t="shared" si="1"/>
        <v>298663</v>
      </c>
      <c r="S8" s="17" t="s">
        <v>21</v>
      </c>
      <c r="T8" s="31">
        <f t="shared" si="2"/>
        <v>74665750</v>
      </c>
      <c r="U8" s="34" t="s">
        <v>15</v>
      </c>
      <c r="V8" s="39">
        <f t="shared" si="3"/>
        <v>74.665750000000003</v>
      </c>
    </row>
    <row r="9" spans="1:22" ht="30" x14ac:dyDescent="0.25">
      <c r="A9" s="10">
        <v>6</v>
      </c>
      <c r="B9" s="11" t="s">
        <v>52</v>
      </c>
      <c r="C9" s="12">
        <v>670731</v>
      </c>
      <c r="D9" s="12">
        <v>455607</v>
      </c>
      <c r="E9" s="31">
        <f t="shared" si="0"/>
        <v>215124</v>
      </c>
      <c r="F9" s="17" t="s">
        <v>19</v>
      </c>
      <c r="G9" s="31">
        <f>E9*1000</f>
        <v>215124000</v>
      </c>
      <c r="H9" s="34" t="s">
        <v>15</v>
      </c>
      <c r="I9" s="39">
        <f t="shared" si="4"/>
        <v>215.124</v>
      </c>
      <c r="J9" s="20"/>
      <c r="K9" s="5"/>
      <c r="L9" s="5"/>
      <c r="M9" s="5"/>
      <c r="N9" s="5"/>
      <c r="O9" s="5"/>
      <c r="P9" s="5"/>
      <c r="Q9" s="48"/>
      <c r="R9" s="51">
        <f t="shared" si="1"/>
        <v>215124</v>
      </c>
      <c r="S9" s="17" t="s">
        <v>19</v>
      </c>
      <c r="T9" s="31">
        <f t="shared" si="2"/>
        <v>215124000</v>
      </c>
      <c r="U9" s="34" t="s">
        <v>15</v>
      </c>
      <c r="V9" s="39">
        <f t="shared" si="3"/>
        <v>215.124</v>
      </c>
    </row>
    <row r="10" spans="1:22" ht="30" x14ac:dyDescent="0.25">
      <c r="A10" s="10">
        <v>7</v>
      </c>
      <c r="B10" s="11" t="s">
        <v>53</v>
      </c>
      <c r="C10" s="12">
        <v>847457</v>
      </c>
      <c r="D10" s="12">
        <v>479568</v>
      </c>
      <c r="E10" s="31">
        <f t="shared" si="0"/>
        <v>367889</v>
      </c>
      <c r="F10" s="17" t="s">
        <v>19</v>
      </c>
      <c r="G10" s="31">
        <f>E10*1000</f>
        <v>367889000</v>
      </c>
      <c r="H10" s="34" t="s">
        <v>15</v>
      </c>
      <c r="I10" s="39">
        <f t="shared" si="4"/>
        <v>367.88900000000001</v>
      </c>
      <c r="J10" s="20"/>
      <c r="K10" s="5"/>
      <c r="L10" s="5"/>
      <c r="M10" s="5"/>
      <c r="N10" s="5"/>
      <c r="O10" s="5"/>
      <c r="P10" s="5"/>
      <c r="Q10" s="48"/>
      <c r="R10" s="51">
        <f t="shared" si="1"/>
        <v>367889</v>
      </c>
      <c r="S10" s="17" t="s">
        <v>19</v>
      </c>
      <c r="T10" s="31">
        <f t="shared" si="2"/>
        <v>367889000</v>
      </c>
      <c r="U10" s="34" t="s">
        <v>15</v>
      </c>
      <c r="V10" s="39">
        <f t="shared" si="3"/>
        <v>367.88900000000001</v>
      </c>
    </row>
    <row r="11" spans="1:22" ht="30" x14ac:dyDescent="0.25">
      <c r="A11" s="10">
        <v>8</v>
      </c>
      <c r="B11" s="11" t="s">
        <v>23</v>
      </c>
      <c r="C11" s="12">
        <v>857142</v>
      </c>
      <c r="D11" s="12">
        <v>523033</v>
      </c>
      <c r="E11" s="31">
        <f t="shared" si="0"/>
        <v>334109</v>
      </c>
      <c r="F11" s="17" t="s">
        <v>19</v>
      </c>
      <c r="G11" s="31">
        <f>E11*1000</f>
        <v>334109000</v>
      </c>
      <c r="H11" s="34" t="s">
        <v>15</v>
      </c>
      <c r="I11" s="39">
        <f t="shared" si="4"/>
        <v>334.10899999999998</v>
      </c>
      <c r="J11" s="20"/>
      <c r="K11" s="5"/>
      <c r="L11" s="5"/>
      <c r="M11" s="5"/>
      <c r="N11" s="5"/>
      <c r="O11" s="5"/>
      <c r="P11" s="5"/>
      <c r="Q11" s="48"/>
      <c r="R11" s="51">
        <f t="shared" si="1"/>
        <v>334109</v>
      </c>
      <c r="S11" s="17" t="s">
        <v>19</v>
      </c>
      <c r="T11" s="31">
        <f t="shared" si="2"/>
        <v>334109000</v>
      </c>
      <c r="U11" s="34" t="s">
        <v>15</v>
      </c>
      <c r="V11" s="39">
        <f t="shared" si="3"/>
        <v>334.10899999999998</v>
      </c>
    </row>
    <row r="12" spans="1:22" ht="30" x14ac:dyDescent="0.25">
      <c r="A12" s="10">
        <v>9</v>
      </c>
      <c r="B12" s="13" t="s">
        <v>24</v>
      </c>
      <c r="C12" s="12">
        <v>1363636</v>
      </c>
      <c r="D12" s="12">
        <v>288996</v>
      </c>
      <c r="E12" s="31">
        <f t="shared" si="0"/>
        <v>1074640</v>
      </c>
      <c r="F12" s="17" t="s">
        <v>25</v>
      </c>
      <c r="G12" s="31">
        <f>E12*400</f>
        <v>429856000</v>
      </c>
      <c r="H12" s="34" t="s">
        <v>15</v>
      </c>
      <c r="I12" s="39">
        <f t="shared" si="4"/>
        <v>429.85599999999999</v>
      </c>
      <c r="J12" s="20"/>
      <c r="K12" s="5"/>
      <c r="L12" s="5"/>
      <c r="M12" s="5"/>
      <c r="N12" s="5"/>
      <c r="O12" s="5"/>
      <c r="P12" s="5"/>
      <c r="Q12" s="48"/>
      <c r="R12" s="51">
        <f t="shared" si="1"/>
        <v>1074640</v>
      </c>
      <c r="S12" s="17" t="s">
        <v>25</v>
      </c>
      <c r="T12" s="31">
        <f t="shared" si="2"/>
        <v>429856000</v>
      </c>
      <c r="U12" s="34" t="s">
        <v>15</v>
      </c>
      <c r="V12" s="39">
        <f t="shared" si="3"/>
        <v>429.85599999999999</v>
      </c>
    </row>
    <row r="13" spans="1:22" ht="30" x14ac:dyDescent="0.25">
      <c r="A13" s="10">
        <v>10</v>
      </c>
      <c r="B13" s="11" t="s">
        <v>54</v>
      </c>
      <c r="C13" s="12">
        <v>724637</v>
      </c>
      <c r="D13" s="12">
        <v>678036</v>
      </c>
      <c r="E13" s="31">
        <f t="shared" si="0"/>
        <v>46601</v>
      </c>
      <c r="F13" s="17" t="s">
        <v>27</v>
      </c>
      <c r="G13" s="31">
        <f>E13*800</f>
        <v>37280800</v>
      </c>
      <c r="H13" s="34" t="s">
        <v>15</v>
      </c>
      <c r="I13" s="39">
        <f t="shared" si="4"/>
        <v>37.280799999999999</v>
      </c>
      <c r="J13" s="20"/>
      <c r="K13" s="5"/>
      <c r="L13" s="5"/>
      <c r="M13" s="5"/>
      <c r="N13" s="5"/>
      <c r="O13" s="5"/>
      <c r="P13" s="5"/>
      <c r="Q13" s="48"/>
      <c r="R13" s="51">
        <f t="shared" si="1"/>
        <v>46601</v>
      </c>
      <c r="S13" s="17" t="s">
        <v>27</v>
      </c>
      <c r="T13" s="31">
        <f t="shared" si="2"/>
        <v>37280800</v>
      </c>
      <c r="U13" s="34" t="s">
        <v>15</v>
      </c>
      <c r="V13" s="39">
        <f t="shared" si="3"/>
        <v>37.280799999999999</v>
      </c>
    </row>
    <row r="14" spans="1:22" ht="30" x14ac:dyDescent="0.25">
      <c r="A14" s="10">
        <v>11</v>
      </c>
      <c r="B14" s="11" t="s">
        <v>55</v>
      </c>
      <c r="C14" s="12">
        <v>718553</v>
      </c>
      <c r="D14" s="12">
        <v>540582</v>
      </c>
      <c r="E14" s="31">
        <f t="shared" si="0"/>
        <v>177971</v>
      </c>
      <c r="F14" s="17" t="s">
        <v>64</v>
      </c>
      <c r="G14" s="31">
        <f>E14*420</f>
        <v>74747820</v>
      </c>
      <c r="H14" s="34" t="s">
        <v>15</v>
      </c>
      <c r="I14" s="39">
        <f t="shared" si="4"/>
        <v>74.747820000000004</v>
      </c>
      <c r="J14" s="20"/>
      <c r="K14" s="5"/>
      <c r="L14" s="5"/>
      <c r="M14" s="5"/>
      <c r="N14" s="5"/>
      <c r="O14" s="5"/>
      <c r="P14" s="5"/>
      <c r="Q14" s="48"/>
      <c r="R14" s="51">
        <f t="shared" si="1"/>
        <v>177971</v>
      </c>
      <c r="S14" s="17" t="s">
        <v>64</v>
      </c>
      <c r="T14" s="31">
        <f t="shared" si="2"/>
        <v>74747820</v>
      </c>
      <c r="U14" s="34" t="s">
        <v>15</v>
      </c>
      <c r="V14" s="39">
        <f t="shared" si="3"/>
        <v>74.747820000000004</v>
      </c>
    </row>
    <row r="15" spans="1:22" ht="30" x14ac:dyDescent="0.25">
      <c r="A15" s="10">
        <v>12</v>
      </c>
      <c r="B15" s="11" t="s">
        <v>56</v>
      </c>
      <c r="C15" s="12">
        <v>641025</v>
      </c>
      <c r="D15" s="12">
        <v>527461</v>
      </c>
      <c r="E15" s="31">
        <f t="shared" si="0"/>
        <v>113564</v>
      </c>
      <c r="F15" s="17" t="s">
        <v>25</v>
      </c>
      <c r="G15" s="31">
        <f>E15*400</f>
        <v>45425600</v>
      </c>
      <c r="H15" s="34" t="s">
        <v>15</v>
      </c>
      <c r="I15" s="39">
        <f t="shared" si="4"/>
        <v>45.425600000000003</v>
      </c>
      <c r="J15" s="20"/>
      <c r="K15" s="5"/>
      <c r="L15" s="5"/>
      <c r="M15" s="5"/>
      <c r="N15" s="5"/>
      <c r="O15" s="5"/>
      <c r="P15" s="5"/>
      <c r="Q15" s="48"/>
      <c r="R15" s="51">
        <f t="shared" si="1"/>
        <v>113564</v>
      </c>
      <c r="S15" s="17" t="s">
        <v>25</v>
      </c>
      <c r="T15" s="31">
        <f t="shared" si="2"/>
        <v>45425600</v>
      </c>
      <c r="U15" s="34" t="s">
        <v>15</v>
      </c>
      <c r="V15" s="39">
        <f t="shared" si="3"/>
        <v>45.425600000000003</v>
      </c>
    </row>
    <row r="16" spans="1:22" ht="30" x14ac:dyDescent="0.25">
      <c r="A16" s="10">
        <v>13</v>
      </c>
      <c r="B16" s="11" t="s">
        <v>57</v>
      </c>
      <c r="C16" s="12">
        <v>645161</v>
      </c>
      <c r="D16" s="12">
        <v>449634</v>
      </c>
      <c r="E16" s="31">
        <f t="shared" si="0"/>
        <v>195527</v>
      </c>
      <c r="F16" s="17" t="s">
        <v>25</v>
      </c>
      <c r="G16" s="31">
        <f>E16*400</f>
        <v>78210800</v>
      </c>
      <c r="H16" s="34" t="s">
        <v>15</v>
      </c>
      <c r="I16" s="39">
        <f t="shared" si="4"/>
        <v>78.210800000000006</v>
      </c>
      <c r="J16" s="20"/>
      <c r="K16" s="5"/>
      <c r="L16" s="5"/>
      <c r="M16" s="5"/>
      <c r="N16" s="5"/>
      <c r="O16" s="5"/>
      <c r="P16" s="5"/>
      <c r="Q16" s="48"/>
      <c r="R16" s="51">
        <f t="shared" si="1"/>
        <v>195527</v>
      </c>
      <c r="S16" s="17" t="s">
        <v>25</v>
      </c>
      <c r="T16" s="31">
        <f t="shared" si="2"/>
        <v>78210800</v>
      </c>
      <c r="U16" s="34" t="s">
        <v>15</v>
      </c>
      <c r="V16" s="39">
        <f t="shared" si="3"/>
        <v>78.210800000000006</v>
      </c>
    </row>
    <row r="17" spans="1:22" ht="30" x14ac:dyDescent="0.25">
      <c r="A17" s="10">
        <v>14</v>
      </c>
      <c r="B17" s="11" t="s">
        <v>58</v>
      </c>
      <c r="C17" s="12">
        <v>717391</v>
      </c>
      <c r="D17" s="12">
        <v>581748</v>
      </c>
      <c r="E17" s="31">
        <f t="shared" si="0"/>
        <v>135643</v>
      </c>
      <c r="F17" s="17" t="s">
        <v>65</v>
      </c>
      <c r="G17" s="31">
        <f>E17*140</f>
        <v>18990020</v>
      </c>
      <c r="H17" s="34" t="s">
        <v>15</v>
      </c>
      <c r="I17" s="39">
        <f t="shared" si="4"/>
        <v>18.990020000000001</v>
      </c>
      <c r="J17" s="20"/>
      <c r="K17" s="5"/>
      <c r="L17" s="5"/>
      <c r="M17" s="5"/>
      <c r="N17" s="5"/>
      <c r="O17" s="5"/>
      <c r="P17" s="5"/>
      <c r="Q17" s="48"/>
      <c r="R17" s="51">
        <f t="shared" si="1"/>
        <v>135643</v>
      </c>
      <c r="S17" s="17" t="s">
        <v>65</v>
      </c>
      <c r="T17" s="31">
        <f t="shared" si="2"/>
        <v>18990020</v>
      </c>
      <c r="U17" s="34" t="s">
        <v>15</v>
      </c>
      <c r="V17" s="39">
        <f t="shared" si="3"/>
        <v>18.990020000000001</v>
      </c>
    </row>
    <row r="18" spans="1:22" ht="30" x14ac:dyDescent="0.25">
      <c r="A18" s="10">
        <v>15</v>
      </c>
      <c r="B18" s="11" t="s">
        <v>59</v>
      </c>
      <c r="C18" s="12">
        <v>671641</v>
      </c>
      <c r="D18" s="12">
        <v>0</v>
      </c>
      <c r="E18" s="31">
        <f t="shared" si="0"/>
        <v>671641</v>
      </c>
      <c r="F18" s="17" t="s">
        <v>31</v>
      </c>
      <c r="G18" s="31">
        <f>E18*460</f>
        <v>308954860</v>
      </c>
      <c r="H18" s="34" t="s">
        <v>15</v>
      </c>
      <c r="I18" s="39">
        <f t="shared" si="4"/>
        <v>308.95486</v>
      </c>
      <c r="J18" s="20"/>
      <c r="K18" s="5"/>
      <c r="L18" s="5"/>
      <c r="M18" s="5"/>
      <c r="N18" s="5"/>
      <c r="O18" s="5"/>
      <c r="P18" s="5"/>
      <c r="Q18" s="48"/>
      <c r="R18" s="51">
        <f t="shared" si="1"/>
        <v>671641</v>
      </c>
      <c r="S18" s="17" t="s">
        <v>31</v>
      </c>
      <c r="T18" s="31">
        <f t="shared" si="2"/>
        <v>308954860</v>
      </c>
      <c r="U18" s="34" t="s">
        <v>15</v>
      </c>
      <c r="V18" s="39">
        <f t="shared" si="3"/>
        <v>308.95486</v>
      </c>
    </row>
    <row r="19" spans="1:22" ht="30" x14ac:dyDescent="0.25">
      <c r="A19" s="10">
        <v>16</v>
      </c>
      <c r="B19" s="11" t="s">
        <v>32</v>
      </c>
      <c r="C19" s="12">
        <v>668367</v>
      </c>
      <c r="D19" s="12">
        <v>455214</v>
      </c>
      <c r="E19" s="31">
        <f t="shared" si="0"/>
        <v>213153</v>
      </c>
      <c r="F19" s="17" t="s">
        <v>33</v>
      </c>
      <c r="G19" s="31">
        <f>E19/2</f>
        <v>106576.5</v>
      </c>
      <c r="H19" s="35" t="s">
        <v>12</v>
      </c>
      <c r="I19" s="39">
        <f>G19/1000*0.92</f>
        <v>98.050380000000004</v>
      </c>
      <c r="J19" s="20"/>
      <c r="K19" s="5"/>
      <c r="L19" s="5"/>
      <c r="M19" s="5"/>
      <c r="N19" s="5"/>
      <c r="O19" s="5"/>
      <c r="P19" s="5"/>
      <c r="Q19" s="48"/>
      <c r="R19" s="51">
        <f t="shared" si="1"/>
        <v>213153</v>
      </c>
      <c r="S19" s="17" t="s">
        <v>33</v>
      </c>
      <c r="T19" s="31">
        <f t="shared" si="2"/>
        <v>106576.5</v>
      </c>
      <c r="U19" s="35" t="s">
        <v>12</v>
      </c>
      <c r="V19" s="39">
        <f t="shared" si="3"/>
        <v>98.050380000000004</v>
      </c>
    </row>
    <row r="20" spans="1:22" ht="30" x14ac:dyDescent="0.25">
      <c r="A20" s="10">
        <v>17</v>
      </c>
      <c r="B20" s="11" t="s">
        <v>60</v>
      </c>
      <c r="C20" s="12">
        <v>925844</v>
      </c>
      <c r="D20" s="12">
        <v>783288</v>
      </c>
      <c r="E20" s="31">
        <f t="shared" si="0"/>
        <v>142556</v>
      </c>
      <c r="F20" s="17" t="s">
        <v>37</v>
      </c>
      <c r="G20" s="31">
        <f>E20*100</f>
        <v>14255600</v>
      </c>
      <c r="H20" s="34" t="s">
        <v>15</v>
      </c>
      <c r="I20" s="39">
        <f>G20/1000000</f>
        <v>14.255599999999999</v>
      </c>
      <c r="J20" s="20"/>
      <c r="K20" s="5"/>
      <c r="L20" s="5"/>
      <c r="M20" s="5"/>
      <c r="N20" s="5"/>
      <c r="O20" s="5"/>
      <c r="P20" s="5"/>
      <c r="Q20" s="48"/>
      <c r="R20" s="51">
        <f t="shared" si="1"/>
        <v>142556</v>
      </c>
      <c r="S20" s="17" t="s">
        <v>37</v>
      </c>
      <c r="T20" s="31">
        <f t="shared" si="2"/>
        <v>14255600</v>
      </c>
      <c r="U20" s="34" t="s">
        <v>15</v>
      </c>
      <c r="V20" s="39">
        <f t="shared" si="3"/>
        <v>14.255599999999999</v>
      </c>
    </row>
    <row r="21" spans="1:22" ht="30" x14ac:dyDescent="0.25">
      <c r="A21" s="10">
        <v>18</v>
      </c>
      <c r="B21" s="11" t="s">
        <v>61</v>
      </c>
      <c r="C21" s="12">
        <v>560344</v>
      </c>
      <c r="D21" s="12">
        <v>467696</v>
      </c>
      <c r="E21" s="31">
        <f t="shared" si="0"/>
        <v>92648</v>
      </c>
      <c r="F21" s="17" t="s">
        <v>40</v>
      </c>
      <c r="G21" s="31">
        <f>E21*500</f>
        <v>46324000</v>
      </c>
      <c r="H21" s="34" t="s">
        <v>15</v>
      </c>
      <c r="I21" s="39">
        <f t="shared" ref="I21:I23" si="5">G21/1000000</f>
        <v>46.323999999999998</v>
      </c>
      <c r="J21" s="20"/>
      <c r="K21" s="5"/>
      <c r="L21" s="5"/>
      <c r="M21" s="5"/>
      <c r="N21" s="5"/>
      <c r="O21" s="5"/>
      <c r="P21" s="5"/>
      <c r="Q21" s="48"/>
      <c r="R21" s="51">
        <f t="shared" si="1"/>
        <v>92648</v>
      </c>
      <c r="S21" s="17" t="s">
        <v>40</v>
      </c>
      <c r="T21" s="31">
        <f t="shared" si="2"/>
        <v>46324000</v>
      </c>
      <c r="U21" s="34" t="s">
        <v>15</v>
      </c>
      <c r="V21" s="39">
        <f t="shared" si="3"/>
        <v>46.323999999999998</v>
      </c>
    </row>
    <row r="22" spans="1:22" ht="30" x14ac:dyDescent="0.25">
      <c r="A22" s="10">
        <v>19</v>
      </c>
      <c r="B22" s="13" t="s">
        <v>62</v>
      </c>
      <c r="C22" s="12">
        <v>348837</v>
      </c>
      <c r="D22" s="12">
        <v>0</v>
      </c>
      <c r="E22" s="31">
        <f t="shared" si="0"/>
        <v>348837</v>
      </c>
      <c r="F22" s="17" t="s">
        <v>25</v>
      </c>
      <c r="G22" s="31">
        <f>E22*400</f>
        <v>139534800</v>
      </c>
      <c r="H22" s="34" t="s">
        <v>15</v>
      </c>
      <c r="I22" s="39">
        <f t="shared" si="5"/>
        <v>139.53479999999999</v>
      </c>
      <c r="J22" s="20"/>
      <c r="K22" s="5"/>
      <c r="L22" s="5"/>
      <c r="M22" s="5"/>
      <c r="N22" s="5"/>
      <c r="O22" s="5"/>
      <c r="P22" s="5"/>
      <c r="Q22" s="48"/>
      <c r="R22" s="51">
        <f t="shared" si="1"/>
        <v>348837</v>
      </c>
      <c r="S22" s="17" t="s">
        <v>25</v>
      </c>
      <c r="T22" s="31">
        <f t="shared" si="2"/>
        <v>139534800</v>
      </c>
      <c r="U22" s="34" t="s">
        <v>15</v>
      </c>
      <c r="V22" s="39">
        <f t="shared" si="3"/>
        <v>139.53479999999999</v>
      </c>
    </row>
    <row r="23" spans="1:22" ht="30.75" thickBot="1" x14ac:dyDescent="0.3">
      <c r="A23" s="14">
        <v>20</v>
      </c>
      <c r="B23" s="15" t="s">
        <v>63</v>
      </c>
      <c r="C23" s="16">
        <v>343511</v>
      </c>
      <c r="D23" s="16">
        <v>288086</v>
      </c>
      <c r="E23" s="40">
        <f t="shared" si="0"/>
        <v>55425</v>
      </c>
      <c r="F23" s="18" t="s">
        <v>25</v>
      </c>
      <c r="G23" s="40">
        <f>E23*400</f>
        <v>22170000</v>
      </c>
      <c r="H23" s="36" t="s">
        <v>15</v>
      </c>
      <c r="I23" s="41">
        <f t="shared" si="5"/>
        <v>22.17</v>
      </c>
      <c r="J23" s="20"/>
      <c r="K23" s="5"/>
      <c r="L23" s="5"/>
      <c r="M23" s="5"/>
      <c r="N23" s="5"/>
      <c r="O23" s="5"/>
      <c r="P23" s="5"/>
      <c r="Q23" s="48"/>
      <c r="R23" s="52">
        <f t="shared" si="1"/>
        <v>55425</v>
      </c>
      <c r="S23" s="18" t="s">
        <v>25</v>
      </c>
      <c r="T23" s="40">
        <f t="shared" si="2"/>
        <v>22170000</v>
      </c>
      <c r="U23" s="36" t="s">
        <v>15</v>
      </c>
      <c r="V23" s="41">
        <f t="shared" si="3"/>
        <v>22.17</v>
      </c>
    </row>
    <row r="24" spans="1:22" ht="30" x14ac:dyDescent="0.25">
      <c r="A24" s="22"/>
      <c r="B24" s="23"/>
      <c r="C24" s="23"/>
      <c r="D24" s="23"/>
      <c r="E24" s="23"/>
      <c r="F24" s="23"/>
      <c r="G24" s="23"/>
      <c r="H24" s="23"/>
      <c r="I24" s="24"/>
      <c r="J24" s="7">
        <v>1</v>
      </c>
      <c r="K24" s="53" t="s">
        <v>10</v>
      </c>
      <c r="L24" s="54">
        <v>4047619</v>
      </c>
      <c r="M24" s="9">
        <f t="shared" ref="M24:M35" si="6">L24</f>
        <v>4047619</v>
      </c>
      <c r="N24" s="9" t="s">
        <v>11</v>
      </c>
      <c r="O24" s="9">
        <f>M24</f>
        <v>4047619</v>
      </c>
      <c r="P24" s="55" t="s">
        <v>12</v>
      </c>
      <c r="Q24" s="65">
        <f>O24/1000*1.03</f>
        <v>4169.0475700000006</v>
      </c>
      <c r="R24" s="50">
        <f>M24-[1]VerwerkenStocks31122020!$AM$702-291420-199666</f>
        <v>3031908</v>
      </c>
      <c r="S24" s="9" t="s">
        <v>11</v>
      </c>
      <c r="T24" s="71">
        <f>R24</f>
        <v>3031908</v>
      </c>
      <c r="U24" s="55" t="s">
        <v>12</v>
      </c>
      <c r="V24" s="73">
        <f>T24/1000*1.03</f>
        <v>3122.8652400000001</v>
      </c>
    </row>
    <row r="25" spans="1:22" ht="30" x14ac:dyDescent="0.25">
      <c r="A25" s="25"/>
      <c r="B25" s="26"/>
      <c r="C25" s="26"/>
      <c r="D25" s="26"/>
      <c r="E25" s="26"/>
      <c r="F25" s="26"/>
      <c r="G25" s="26"/>
      <c r="H25" s="26"/>
      <c r="I25" s="27"/>
      <c r="J25" s="10">
        <v>2</v>
      </c>
      <c r="K25" s="56" t="s">
        <v>13</v>
      </c>
      <c r="L25" s="57">
        <v>1449275</v>
      </c>
      <c r="M25" s="12">
        <f t="shared" si="6"/>
        <v>1449275</v>
      </c>
      <c r="N25" s="17" t="s">
        <v>14</v>
      </c>
      <c r="O25" s="12">
        <f>M25*125</f>
        <v>181159375</v>
      </c>
      <c r="P25" s="34" t="s">
        <v>15</v>
      </c>
      <c r="Q25" s="66">
        <f>O25/1000000</f>
        <v>181.15937500000001</v>
      </c>
      <c r="R25" s="68">
        <f>M25-[1]VerwerkenStocks31122020!$AQ$702-184600-96182</f>
        <v>808556</v>
      </c>
      <c r="S25" s="17" t="s">
        <v>14</v>
      </c>
      <c r="T25" s="69">
        <f>R25*125</f>
        <v>101069500</v>
      </c>
      <c r="U25" s="34" t="s">
        <v>15</v>
      </c>
      <c r="V25" s="63">
        <f>T25/1000000</f>
        <v>101.06950000000001</v>
      </c>
    </row>
    <row r="26" spans="1:22" ht="30" x14ac:dyDescent="0.25">
      <c r="A26" s="25"/>
      <c r="B26" s="26"/>
      <c r="C26" s="26"/>
      <c r="D26" s="26"/>
      <c r="E26" s="26"/>
      <c r="F26" s="26"/>
      <c r="G26" s="26"/>
      <c r="H26" s="26"/>
      <c r="I26" s="27"/>
      <c r="J26" s="10">
        <v>3</v>
      </c>
      <c r="K26" s="58" t="s">
        <v>16</v>
      </c>
      <c r="L26" s="57">
        <v>765306</v>
      </c>
      <c r="M26" s="12">
        <f t="shared" si="6"/>
        <v>765306</v>
      </c>
      <c r="N26" s="17" t="s">
        <v>17</v>
      </c>
      <c r="O26" s="12">
        <f>M26*260</f>
        <v>198979560</v>
      </c>
      <c r="P26" s="34" t="s">
        <v>15</v>
      </c>
      <c r="Q26" s="66">
        <f t="shared" ref="Q26:Q35" si="7">O26/1000000</f>
        <v>198.97955999999999</v>
      </c>
      <c r="R26" s="68">
        <f>M26-[1]VerwerkenStocks31122020!$AU$702-142308-49965</f>
        <v>328198</v>
      </c>
      <c r="S26" s="17" t="s">
        <v>17</v>
      </c>
      <c r="T26" s="69">
        <f>R26*260</f>
        <v>85331480</v>
      </c>
      <c r="U26" s="34" t="s">
        <v>15</v>
      </c>
      <c r="V26" s="63">
        <f t="shared" ref="V26:V35" si="8">T26/1000000</f>
        <v>85.331479999999999</v>
      </c>
    </row>
    <row r="27" spans="1:22" ht="30" x14ac:dyDescent="0.25">
      <c r="A27" s="25"/>
      <c r="B27" s="26"/>
      <c r="C27" s="26"/>
      <c r="D27" s="26"/>
      <c r="E27" s="26"/>
      <c r="F27" s="26"/>
      <c r="G27" s="26"/>
      <c r="H27" s="26"/>
      <c r="I27" s="27"/>
      <c r="J27" s="10">
        <v>4</v>
      </c>
      <c r="K27" s="58" t="s">
        <v>18</v>
      </c>
      <c r="L27" s="57">
        <v>857142</v>
      </c>
      <c r="M27" s="12">
        <f t="shared" si="6"/>
        <v>857142</v>
      </c>
      <c r="N27" s="17" t="s">
        <v>19</v>
      </c>
      <c r="O27" s="12">
        <f>M27*1000</f>
        <v>857142000</v>
      </c>
      <c r="P27" s="34" t="s">
        <v>15</v>
      </c>
      <c r="Q27" s="66">
        <f t="shared" si="7"/>
        <v>857.14200000000005</v>
      </c>
      <c r="R27" s="68">
        <f>M27-[1]VerwerkenStocks31122020!$AY$702-63840-64282</f>
        <v>464151</v>
      </c>
      <c r="S27" s="17" t="s">
        <v>19</v>
      </c>
      <c r="T27" s="69">
        <f>R27*1000</f>
        <v>464151000</v>
      </c>
      <c r="U27" s="34" t="s">
        <v>15</v>
      </c>
      <c r="V27" s="63">
        <f t="shared" si="8"/>
        <v>464.15100000000001</v>
      </c>
    </row>
    <row r="28" spans="1:22" ht="30" x14ac:dyDescent="0.25">
      <c r="A28" s="25"/>
      <c r="B28" s="26"/>
      <c r="C28" s="26"/>
      <c r="D28" s="26"/>
      <c r="E28" s="26"/>
      <c r="F28" s="26"/>
      <c r="G28" s="26"/>
      <c r="H28" s="26"/>
      <c r="I28" s="27"/>
      <c r="J28" s="10">
        <v>5</v>
      </c>
      <c r="K28" s="58" t="s">
        <v>20</v>
      </c>
      <c r="L28" s="57">
        <v>714285</v>
      </c>
      <c r="M28" s="12">
        <f t="shared" si="6"/>
        <v>714285</v>
      </c>
      <c r="N28" s="17" t="s">
        <v>21</v>
      </c>
      <c r="O28" s="12">
        <f>M28*250</f>
        <v>178571250</v>
      </c>
      <c r="P28" s="34" t="s">
        <v>15</v>
      </c>
      <c r="Q28" s="66">
        <f t="shared" si="7"/>
        <v>178.57124999999999</v>
      </c>
      <c r="R28" s="68">
        <f>M28-[1]VerwerkenStocks31122020!$BC$702-29120-46398</f>
        <v>414792</v>
      </c>
      <c r="S28" s="17" t="s">
        <v>21</v>
      </c>
      <c r="T28" s="69">
        <f>R28*250</f>
        <v>103698000</v>
      </c>
      <c r="U28" s="34" t="s">
        <v>15</v>
      </c>
      <c r="V28" s="63">
        <f t="shared" si="8"/>
        <v>103.69799999999999</v>
      </c>
    </row>
    <row r="29" spans="1:22" ht="30" x14ac:dyDescent="0.25">
      <c r="A29" s="25"/>
      <c r="B29" s="26"/>
      <c r="C29" s="26"/>
      <c r="D29" s="26"/>
      <c r="E29" s="26"/>
      <c r="F29" s="26"/>
      <c r="G29" s="26"/>
      <c r="H29" s="26"/>
      <c r="I29" s="27"/>
      <c r="J29" s="10">
        <v>6</v>
      </c>
      <c r="K29" s="11" t="s">
        <v>22</v>
      </c>
      <c r="L29" s="57">
        <v>1339280</v>
      </c>
      <c r="M29" s="12">
        <f t="shared" si="6"/>
        <v>1339280</v>
      </c>
      <c r="N29" s="17" t="s">
        <v>19</v>
      </c>
      <c r="O29" s="12">
        <f>M29*1000</f>
        <v>1339280000</v>
      </c>
      <c r="P29" s="34" t="s">
        <v>15</v>
      </c>
      <c r="Q29" s="66">
        <f t="shared" si="7"/>
        <v>1339.28</v>
      </c>
      <c r="R29" s="68">
        <f>M29-[1]VerwerkenStocks31122020!$BG$702-94220-101877</f>
        <v>620400</v>
      </c>
      <c r="S29" s="17" t="s">
        <v>19</v>
      </c>
      <c r="T29" s="69">
        <f>R29*1000</f>
        <v>620400000</v>
      </c>
      <c r="U29" s="34" t="s">
        <v>15</v>
      </c>
      <c r="V29" s="63">
        <f t="shared" si="8"/>
        <v>620.4</v>
      </c>
    </row>
    <row r="30" spans="1:22" ht="30" x14ac:dyDescent="0.25">
      <c r="A30" s="25"/>
      <c r="B30" s="26"/>
      <c r="C30" s="26"/>
      <c r="D30" s="26"/>
      <c r="E30" s="26"/>
      <c r="F30" s="26"/>
      <c r="G30" s="26"/>
      <c r="H30" s="26"/>
      <c r="I30" s="27"/>
      <c r="J30" s="10">
        <v>7</v>
      </c>
      <c r="K30" s="11" t="s">
        <v>23</v>
      </c>
      <c r="L30" s="57">
        <v>1014492</v>
      </c>
      <c r="M30" s="12">
        <f t="shared" si="6"/>
        <v>1014492</v>
      </c>
      <c r="N30" s="17" t="s">
        <v>19</v>
      </c>
      <c r="O30" s="12">
        <f>M30*1000</f>
        <v>1014492000</v>
      </c>
      <c r="P30" s="34" t="s">
        <v>15</v>
      </c>
      <c r="Q30" s="66">
        <f t="shared" si="7"/>
        <v>1014.492</v>
      </c>
      <c r="R30" s="68">
        <f>M30-[1]VerwerkenStocks31122020!$BK$702-85040-65486</f>
        <v>503772</v>
      </c>
      <c r="S30" s="17" t="s">
        <v>19</v>
      </c>
      <c r="T30" s="69">
        <f>R30*1000</f>
        <v>503772000</v>
      </c>
      <c r="U30" s="34" t="s">
        <v>15</v>
      </c>
      <c r="V30" s="63">
        <f t="shared" si="8"/>
        <v>503.77199999999999</v>
      </c>
    </row>
    <row r="31" spans="1:22" ht="30" x14ac:dyDescent="0.25">
      <c r="A31" s="25"/>
      <c r="B31" s="26"/>
      <c r="C31" s="26"/>
      <c r="D31" s="26"/>
      <c r="E31" s="26"/>
      <c r="F31" s="26"/>
      <c r="G31" s="26"/>
      <c r="H31" s="26"/>
      <c r="I31" s="27"/>
      <c r="J31" s="10">
        <v>8</v>
      </c>
      <c r="K31" s="13" t="s">
        <v>24</v>
      </c>
      <c r="L31" s="57">
        <v>1666666</v>
      </c>
      <c r="M31" s="12">
        <f t="shared" si="6"/>
        <v>1666666</v>
      </c>
      <c r="N31" s="17" t="s">
        <v>25</v>
      </c>
      <c r="O31" s="12">
        <f>M31*400</f>
        <v>666666400</v>
      </c>
      <c r="P31" s="34" t="s">
        <v>15</v>
      </c>
      <c r="Q31" s="66">
        <f t="shared" si="7"/>
        <v>666.66639999999995</v>
      </c>
      <c r="R31" s="68">
        <f>M31-[1]VerwerkenStocks31122020!$BO$702-220224-99974</f>
        <v>742914</v>
      </c>
      <c r="S31" s="17" t="s">
        <v>25</v>
      </c>
      <c r="T31" s="69">
        <f>R31*400</f>
        <v>297165600</v>
      </c>
      <c r="U31" s="34" t="s">
        <v>15</v>
      </c>
      <c r="V31" s="63">
        <f t="shared" si="8"/>
        <v>297.16559999999998</v>
      </c>
    </row>
    <row r="32" spans="1:22" ht="30" x14ac:dyDescent="0.25">
      <c r="A32" s="25"/>
      <c r="B32" s="26"/>
      <c r="C32" s="26"/>
      <c r="D32" s="26"/>
      <c r="E32" s="26"/>
      <c r="F32" s="26"/>
      <c r="G32" s="26"/>
      <c r="H32" s="26"/>
      <c r="I32" s="27"/>
      <c r="J32" s="10">
        <v>9</v>
      </c>
      <c r="K32" s="11" t="s">
        <v>26</v>
      </c>
      <c r="L32" s="57">
        <v>781250</v>
      </c>
      <c r="M32" s="12">
        <f t="shared" si="6"/>
        <v>781250</v>
      </c>
      <c r="N32" s="17" t="s">
        <v>27</v>
      </c>
      <c r="O32" s="12">
        <f>M32*800</f>
        <v>625000000</v>
      </c>
      <c r="P32" s="34" t="s">
        <v>15</v>
      </c>
      <c r="Q32" s="66">
        <f t="shared" si="7"/>
        <v>625</v>
      </c>
      <c r="R32" s="68">
        <f>M32-[1]VerwerkenStocks31122020!$BS$702-29808-44899</f>
        <v>432969</v>
      </c>
      <c r="S32" s="17" t="s">
        <v>27</v>
      </c>
      <c r="T32" s="69">
        <f>R32*800</f>
        <v>346375200</v>
      </c>
      <c r="U32" s="34" t="s">
        <v>15</v>
      </c>
      <c r="V32" s="63">
        <f t="shared" si="8"/>
        <v>346.37520000000001</v>
      </c>
    </row>
    <row r="33" spans="1:22" ht="30" x14ac:dyDescent="0.25">
      <c r="A33" s="25"/>
      <c r="B33" s="26"/>
      <c r="C33" s="26"/>
      <c r="D33" s="26"/>
      <c r="E33" s="26"/>
      <c r="F33" s="26"/>
      <c r="G33" s="26"/>
      <c r="H33" s="26"/>
      <c r="I33" s="27"/>
      <c r="J33" s="10">
        <v>10</v>
      </c>
      <c r="K33" s="11" t="s">
        <v>28</v>
      </c>
      <c r="L33" s="57">
        <v>1111111</v>
      </c>
      <c r="M33" s="12">
        <f t="shared" si="6"/>
        <v>1111111</v>
      </c>
      <c r="N33" s="17" t="s">
        <v>25</v>
      </c>
      <c r="O33" s="12">
        <f>M33*400</f>
        <v>444444400</v>
      </c>
      <c r="P33" s="34" t="s">
        <v>15</v>
      </c>
      <c r="Q33" s="66">
        <f t="shared" si="7"/>
        <v>444.44439999999997</v>
      </c>
      <c r="R33" s="68">
        <f>M33-[1]VerwerkenStocks31122020!$BW$702-118992-77184</f>
        <v>657249</v>
      </c>
      <c r="S33" s="17" t="s">
        <v>25</v>
      </c>
      <c r="T33" s="69">
        <f>R33*400</f>
        <v>262899600</v>
      </c>
      <c r="U33" s="34" t="s">
        <v>15</v>
      </c>
      <c r="V33" s="63">
        <f t="shared" si="8"/>
        <v>262.89960000000002</v>
      </c>
    </row>
    <row r="34" spans="1:22" ht="30" x14ac:dyDescent="0.25">
      <c r="A34" s="25"/>
      <c r="B34" s="26"/>
      <c r="C34" s="26"/>
      <c r="D34" s="26"/>
      <c r="E34" s="26"/>
      <c r="F34" s="26"/>
      <c r="G34" s="26"/>
      <c r="H34" s="26"/>
      <c r="I34" s="27"/>
      <c r="J34" s="10">
        <v>11</v>
      </c>
      <c r="K34" s="11" t="s">
        <v>29</v>
      </c>
      <c r="L34" s="57">
        <v>740740</v>
      </c>
      <c r="M34" s="12">
        <f t="shared" si="6"/>
        <v>740740</v>
      </c>
      <c r="N34" s="17" t="s">
        <v>25</v>
      </c>
      <c r="O34" s="12">
        <f>M34*400</f>
        <v>296296000</v>
      </c>
      <c r="P34" s="34" t="s">
        <v>15</v>
      </c>
      <c r="Q34" s="66">
        <f t="shared" si="7"/>
        <v>296.29599999999999</v>
      </c>
      <c r="R34" s="68">
        <f>M34-[1]VerwerkenStocks31122020!$CA$702-54528-38449</f>
        <v>495275</v>
      </c>
      <c r="S34" s="17" t="s">
        <v>25</v>
      </c>
      <c r="T34" s="69">
        <f>R34*400</f>
        <v>198110000</v>
      </c>
      <c r="U34" s="34" t="s">
        <v>15</v>
      </c>
      <c r="V34" s="63">
        <f t="shared" si="8"/>
        <v>198.11</v>
      </c>
    </row>
    <row r="35" spans="1:22" ht="30" x14ac:dyDescent="0.25">
      <c r="A35" s="25"/>
      <c r="B35" s="26"/>
      <c r="C35" s="26"/>
      <c r="D35" s="26"/>
      <c r="E35" s="26"/>
      <c r="F35" s="26"/>
      <c r="G35" s="26"/>
      <c r="H35" s="26"/>
      <c r="I35" s="27"/>
      <c r="J35" s="10">
        <v>12</v>
      </c>
      <c r="K35" s="11" t="s">
        <v>30</v>
      </c>
      <c r="L35" s="57">
        <v>571428</v>
      </c>
      <c r="M35" s="12">
        <f t="shared" si="6"/>
        <v>571428</v>
      </c>
      <c r="N35" s="17" t="s">
        <v>31</v>
      </c>
      <c r="O35" s="12">
        <f>M35*460</f>
        <v>262856880</v>
      </c>
      <c r="P35" s="34" t="s">
        <v>15</v>
      </c>
      <c r="Q35" s="66">
        <f t="shared" si="7"/>
        <v>262.85687999999999</v>
      </c>
      <c r="R35" s="68">
        <f>M35-[1]VerwerkenStocks31122020!$CE$702-211488-30030</f>
        <v>116002</v>
      </c>
      <c r="S35" s="17" t="s">
        <v>31</v>
      </c>
      <c r="T35" s="69">
        <f>R35*460</f>
        <v>53360920</v>
      </c>
      <c r="U35" s="34" t="s">
        <v>15</v>
      </c>
      <c r="V35" s="63">
        <f t="shared" si="8"/>
        <v>53.36092</v>
      </c>
    </row>
    <row r="36" spans="1:22" ht="30" x14ac:dyDescent="0.25">
      <c r="A36" s="25"/>
      <c r="B36" s="26"/>
      <c r="C36" s="26"/>
      <c r="D36" s="26"/>
      <c r="E36" s="26"/>
      <c r="F36" s="26"/>
      <c r="G36" s="26"/>
      <c r="H36" s="26"/>
      <c r="I36" s="27"/>
      <c r="J36" s="10">
        <v>13</v>
      </c>
      <c r="K36" s="11" t="s">
        <v>32</v>
      </c>
      <c r="L36" s="57">
        <v>699300</v>
      </c>
      <c r="M36" s="12">
        <f t="shared" ref="M36:M41" si="9">L36</f>
        <v>699300</v>
      </c>
      <c r="N36" s="17" t="s">
        <v>33</v>
      </c>
      <c r="O36" s="12">
        <f>M36/2</f>
        <v>349650</v>
      </c>
      <c r="P36" s="35" t="s">
        <v>12</v>
      </c>
      <c r="Q36" s="66">
        <f>O36/1000*0.92</f>
        <v>321.678</v>
      </c>
      <c r="R36" s="68">
        <f>M36-[1]VerwerkenStocks31122020!$CI$702-56724-47212</f>
        <v>378507</v>
      </c>
      <c r="S36" s="17" t="s">
        <v>33</v>
      </c>
      <c r="T36" s="69">
        <f>R36/2</f>
        <v>189253.5</v>
      </c>
      <c r="U36" s="35" t="s">
        <v>12</v>
      </c>
      <c r="V36" s="63">
        <f>T36/1000*0.92</f>
        <v>174.11322000000001</v>
      </c>
    </row>
    <row r="37" spans="1:22" ht="30" x14ac:dyDescent="0.25">
      <c r="A37" s="25"/>
      <c r="B37" s="26"/>
      <c r="C37" s="26"/>
      <c r="D37" s="26"/>
      <c r="E37" s="26"/>
      <c r="F37" s="26"/>
      <c r="G37" s="26"/>
      <c r="H37" s="26"/>
      <c r="I37" s="27"/>
      <c r="J37" s="10">
        <v>14</v>
      </c>
      <c r="K37" s="11" t="s">
        <v>34</v>
      </c>
      <c r="L37" s="57">
        <v>622641</v>
      </c>
      <c r="M37" s="12">
        <f t="shared" si="9"/>
        <v>622641</v>
      </c>
      <c r="N37" s="17" t="s">
        <v>35</v>
      </c>
      <c r="O37" s="12">
        <f>M37*200</f>
        <v>124528200</v>
      </c>
      <c r="P37" s="34" t="s">
        <v>15</v>
      </c>
      <c r="Q37" s="66">
        <f>O37/1000000</f>
        <v>124.5282</v>
      </c>
      <c r="R37" s="68">
        <f>M37-[1]VerwerkenStocks31122020!$CM$702-28740-30247</f>
        <v>416396</v>
      </c>
      <c r="S37" s="17" t="s">
        <v>35</v>
      </c>
      <c r="T37" s="69">
        <f>R37*200</f>
        <v>83279200</v>
      </c>
      <c r="U37" s="34" t="s">
        <v>15</v>
      </c>
      <c r="V37" s="63">
        <f>T37/1000000</f>
        <v>83.279200000000003</v>
      </c>
    </row>
    <row r="38" spans="1:22" ht="30" x14ac:dyDescent="0.25">
      <c r="A38" s="25"/>
      <c r="B38" s="26"/>
      <c r="C38" s="26"/>
      <c r="D38" s="26"/>
      <c r="E38" s="26"/>
      <c r="F38" s="26"/>
      <c r="G38" s="26"/>
      <c r="H38" s="26"/>
      <c r="I38" s="27"/>
      <c r="J38" s="10">
        <v>15</v>
      </c>
      <c r="K38" s="11" t="s">
        <v>36</v>
      </c>
      <c r="L38" s="57">
        <v>750000</v>
      </c>
      <c r="M38" s="12">
        <f t="shared" si="9"/>
        <v>750000</v>
      </c>
      <c r="N38" s="17" t="s">
        <v>37</v>
      </c>
      <c r="O38" s="12">
        <f>M38*100</f>
        <v>75000000</v>
      </c>
      <c r="P38" s="34" t="s">
        <v>15</v>
      </c>
      <c r="Q38" s="66">
        <f>O38/1000000</f>
        <v>75</v>
      </c>
      <c r="R38" s="68">
        <f>M38-[1]VerwerkenStocks31122020!$CQ$702-78510-55467</f>
        <v>298262</v>
      </c>
      <c r="S38" s="17" t="s">
        <v>37</v>
      </c>
      <c r="T38" s="69">
        <f>R38*100</f>
        <v>29826200</v>
      </c>
      <c r="U38" s="34" t="s">
        <v>15</v>
      </c>
      <c r="V38" s="63">
        <f>T38/1000000</f>
        <v>29.8262</v>
      </c>
    </row>
    <row r="39" spans="1:22" ht="30" x14ac:dyDescent="0.25">
      <c r="A39" s="25"/>
      <c r="B39" s="26"/>
      <c r="C39" s="26"/>
      <c r="D39" s="26"/>
      <c r="E39" s="26"/>
      <c r="F39" s="26"/>
      <c r="G39" s="26"/>
      <c r="H39" s="26"/>
      <c r="I39" s="27"/>
      <c r="J39" s="10">
        <v>16</v>
      </c>
      <c r="K39" s="11" t="s">
        <v>38</v>
      </c>
      <c r="L39" s="57">
        <v>769230</v>
      </c>
      <c r="M39" s="12">
        <f t="shared" si="9"/>
        <v>769230</v>
      </c>
      <c r="N39" s="17" t="s">
        <v>11</v>
      </c>
      <c r="O39" s="12">
        <f>M39</f>
        <v>769230</v>
      </c>
      <c r="P39" s="35" t="s">
        <v>12</v>
      </c>
      <c r="Q39" s="66">
        <f>O39/1000</f>
        <v>769.23</v>
      </c>
      <c r="R39" s="68">
        <f>M39-[1]VerwerkenStocks31122020!$CU$702-72272-47824</f>
        <v>464116</v>
      </c>
      <c r="S39" s="17" t="s">
        <v>11</v>
      </c>
      <c r="T39" s="69">
        <f>R39</f>
        <v>464116</v>
      </c>
      <c r="U39" s="35" t="s">
        <v>12</v>
      </c>
      <c r="V39" s="63">
        <f>T39/1000</f>
        <v>464.11599999999999</v>
      </c>
    </row>
    <row r="40" spans="1:22" ht="30" x14ac:dyDescent="0.25">
      <c r="A40" s="25"/>
      <c r="B40" s="26"/>
      <c r="C40" s="26"/>
      <c r="D40" s="26"/>
      <c r="E40" s="26"/>
      <c r="F40" s="26"/>
      <c r="G40" s="26"/>
      <c r="H40" s="26"/>
      <c r="I40" s="27"/>
      <c r="J40" s="10">
        <v>17</v>
      </c>
      <c r="K40" s="11" t="s">
        <v>39</v>
      </c>
      <c r="L40" s="57">
        <v>476190</v>
      </c>
      <c r="M40" s="12">
        <f t="shared" si="9"/>
        <v>476190</v>
      </c>
      <c r="N40" s="17" t="s">
        <v>40</v>
      </c>
      <c r="O40" s="12">
        <f>M40*500</f>
        <v>238095000</v>
      </c>
      <c r="P40" s="34" t="s">
        <v>15</v>
      </c>
      <c r="Q40" s="66">
        <f>O40/1000000</f>
        <v>238.095</v>
      </c>
      <c r="R40" s="68">
        <f>M40-[1]VerwerkenStocks31122020!$CY$702-27376-23102</f>
        <v>309493</v>
      </c>
      <c r="S40" s="17" t="s">
        <v>40</v>
      </c>
      <c r="T40" s="69">
        <f>R40*500</f>
        <v>154746500</v>
      </c>
      <c r="U40" s="34" t="s">
        <v>15</v>
      </c>
      <c r="V40" s="63">
        <f>T40/1000000</f>
        <v>154.7465</v>
      </c>
    </row>
    <row r="41" spans="1:22" ht="30.75" thickBot="1" x14ac:dyDescent="0.3">
      <c r="A41" s="28"/>
      <c r="B41" s="29"/>
      <c r="C41" s="29"/>
      <c r="D41" s="29"/>
      <c r="E41" s="29"/>
      <c r="F41" s="29"/>
      <c r="G41" s="29"/>
      <c r="H41" s="29"/>
      <c r="I41" s="30"/>
      <c r="J41" s="14">
        <v>18</v>
      </c>
      <c r="K41" s="59" t="s">
        <v>41</v>
      </c>
      <c r="L41" s="60">
        <v>366115</v>
      </c>
      <c r="M41" s="16">
        <f t="shared" si="9"/>
        <v>366115</v>
      </c>
      <c r="N41" s="18" t="s">
        <v>27</v>
      </c>
      <c r="O41" s="16">
        <f>M41*800</f>
        <v>292892000</v>
      </c>
      <c r="P41" s="36" t="s">
        <v>15</v>
      </c>
      <c r="Q41" s="67">
        <f>O41/1000000</f>
        <v>292.892</v>
      </c>
      <c r="R41" s="72">
        <f>M41-[1]VerwerkenStocks31122020!$DC$702-67128-24586</f>
        <v>144320</v>
      </c>
      <c r="S41" s="18" t="s">
        <v>27</v>
      </c>
      <c r="T41" s="70">
        <f>R41*800</f>
        <v>115456000</v>
      </c>
      <c r="U41" s="36" t="s">
        <v>15</v>
      </c>
      <c r="V41" s="74">
        <f>T41/1000000</f>
        <v>115.456</v>
      </c>
    </row>
    <row r="42" spans="1:22" ht="15.75" thickBot="1" x14ac:dyDescent="0.3">
      <c r="V42" s="76">
        <f>SUM(V4:V41)</f>
        <v>10450.399089999999</v>
      </c>
    </row>
    <row r="43" spans="1:22" ht="48" thickBot="1" x14ac:dyDescent="0.3">
      <c r="B43" s="1" t="s">
        <v>76</v>
      </c>
      <c r="C43" s="2" t="s">
        <v>77</v>
      </c>
      <c r="D43" s="2" t="s">
        <v>78</v>
      </c>
      <c r="E43" s="2" t="s">
        <v>79</v>
      </c>
      <c r="F43" s="2" t="s">
        <v>80</v>
      </c>
      <c r="G43" s="2" t="s">
        <v>81</v>
      </c>
      <c r="H43" s="2" t="s">
        <v>110</v>
      </c>
      <c r="I43" s="4" t="s">
        <v>82</v>
      </c>
    </row>
    <row r="44" spans="1:22" ht="30" x14ac:dyDescent="0.25">
      <c r="B44" s="77" t="s">
        <v>83</v>
      </c>
      <c r="C44" s="78">
        <v>1</v>
      </c>
      <c r="D44" s="78" t="s">
        <v>84</v>
      </c>
      <c r="E44" s="78" t="s">
        <v>85</v>
      </c>
      <c r="F44" s="78" t="s">
        <v>86</v>
      </c>
      <c r="G44" s="81">
        <v>1.1399999999999999</v>
      </c>
      <c r="H44" s="84" t="s">
        <v>113</v>
      </c>
      <c r="I44" s="73">
        <f>V4+V24+V17</f>
        <v>3898.1173100000005</v>
      </c>
      <c r="T44" s="75"/>
    </row>
    <row r="45" spans="1:22" ht="30" x14ac:dyDescent="0.25">
      <c r="B45" s="61" t="s">
        <v>87</v>
      </c>
      <c r="C45" s="62" t="s">
        <v>88</v>
      </c>
      <c r="D45" s="62" t="s">
        <v>89</v>
      </c>
      <c r="E45" s="62"/>
      <c r="F45" s="62">
        <v>2</v>
      </c>
      <c r="G45" s="82">
        <v>2</v>
      </c>
      <c r="H45" s="85" t="s">
        <v>114</v>
      </c>
      <c r="I45" s="63">
        <f>V5+V25</f>
        <v>177.15449999999998</v>
      </c>
    </row>
    <row r="46" spans="1:22" ht="60" x14ac:dyDescent="0.25">
      <c r="B46" s="61" t="s">
        <v>90</v>
      </c>
      <c r="C46" s="62" t="s">
        <v>91</v>
      </c>
      <c r="D46" s="62" t="s">
        <v>92</v>
      </c>
      <c r="E46" s="62" t="s">
        <v>93</v>
      </c>
      <c r="F46" s="62" t="s">
        <v>94</v>
      </c>
      <c r="G46" s="82" t="s">
        <v>95</v>
      </c>
      <c r="H46" s="85" t="s">
        <v>111</v>
      </c>
      <c r="I46" s="63">
        <f>V7+V9+V10+V11+V27+V29+V30</f>
        <v>2512.2037</v>
      </c>
      <c r="V46" s="75"/>
    </row>
    <row r="47" spans="1:22" ht="30" x14ac:dyDescent="0.25">
      <c r="B47" s="61" t="s">
        <v>96</v>
      </c>
      <c r="C47" s="62"/>
      <c r="D47" s="62"/>
      <c r="E47" s="62">
        <v>6</v>
      </c>
      <c r="F47" s="62"/>
      <c r="G47" s="82"/>
      <c r="H47" s="85"/>
      <c r="I47" s="21"/>
    </row>
    <row r="48" spans="1:22" ht="30" x14ac:dyDescent="0.25">
      <c r="B48" s="61" t="s">
        <v>97</v>
      </c>
      <c r="C48" s="62" t="s">
        <v>98</v>
      </c>
      <c r="D48" s="62" t="s">
        <v>99</v>
      </c>
      <c r="E48" s="62" t="s">
        <v>100</v>
      </c>
      <c r="F48" s="62" t="s">
        <v>101</v>
      </c>
      <c r="G48" s="82" t="s">
        <v>102</v>
      </c>
      <c r="H48" s="85" t="s">
        <v>115</v>
      </c>
      <c r="I48" s="63">
        <f>V12+V13+V14+V15+V16+V31+V32+V33+V34+V39</f>
        <v>2234.1874200000002</v>
      </c>
    </row>
    <row r="49" spans="2:9" ht="45" x14ac:dyDescent="0.25">
      <c r="B49" s="61" t="s">
        <v>103</v>
      </c>
      <c r="C49" s="62" t="s">
        <v>104</v>
      </c>
      <c r="D49" s="62" t="s">
        <v>105</v>
      </c>
      <c r="E49" s="62" t="s">
        <v>106</v>
      </c>
      <c r="F49" s="62" t="s">
        <v>107</v>
      </c>
      <c r="G49" s="82" t="s">
        <v>108</v>
      </c>
      <c r="H49" s="85" t="s">
        <v>116</v>
      </c>
      <c r="I49" s="63">
        <f>V6+V8+V18+V20+V21+V22+V23+V26+V28+V35+V37+V38+V40+V41</f>
        <v>1356.5725599999996</v>
      </c>
    </row>
    <row r="50" spans="2:9" ht="30.75" thickBot="1" x14ac:dyDescent="0.3">
      <c r="B50" s="79" t="s">
        <v>109</v>
      </c>
      <c r="C50" s="80">
        <v>11</v>
      </c>
      <c r="D50" s="80">
        <v>11</v>
      </c>
      <c r="E50" s="80">
        <v>17</v>
      </c>
      <c r="F50" s="80">
        <v>16</v>
      </c>
      <c r="G50" s="83">
        <v>16</v>
      </c>
      <c r="H50" s="86" t="s">
        <v>112</v>
      </c>
      <c r="I50" s="74">
        <f>V19+V36</f>
        <v>272.16360000000003</v>
      </c>
    </row>
    <row r="51" spans="2:9" ht="15.75" thickBot="1" x14ac:dyDescent="0.3">
      <c r="B51" s="90"/>
      <c r="C51" s="91"/>
      <c r="D51" s="91"/>
      <c r="E51" s="91"/>
      <c r="F51" s="91"/>
      <c r="G51" s="91"/>
      <c r="H51" s="91"/>
      <c r="I51" s="64">
        <f>SUM(I44:I50)</f>
        <v>10450.399089999999</v>
      </c>
    </row>
  </sheetData>
  <mergeCells count="4">
    <mergeCell ref="A1:I1"/>
    <mergeCell ref="J1:Q1"/>
    <mergeCell ref="R1:V1"/>
    <mergeCell ref="B51:H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dcterms:created xsi:type="dcterms:W3CDTF">2020-09-14T12:19:53Z</dcterms:created>
  <dcterms:modified xsi:type="dcterms:W3CDTF">2021-06-22T07:19:16Z</dcterms:modified>
</cp:coreProperties>
</file>