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2. FEAD\14. Monitoring et statistiques\1. Annual Implementation Report\AIR 2016\"/>
    </mc:Choice>
  </mc:AlternateContent>
  <bookViews>
    <workbookView xWindow="10995" yWindow="-120" windowWidth="9495" windowHeight="8250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Q18" i="1" l="1"/>
  <c r="F61" i="1" l="1"/>
  <c r="AF51" i="1" l="1"/>
  <c r="AH51" i="1" s="1"/>
  <c r="AJ51" i="1" s="1"/>
  <c r="AF52" i="1"/>
  <c r="AH52" i="1" s="1"/>
  <c r="AJ52" i="1" s="1"/>
  <c r="AF49" i="1"/>
  <c r="AH49" i="1" s="1"/>
  <c r="AJ49" i="1" s="1"/>
  <c r="AF47" i="1"/>
  <c r="AH47" i="1" s="1"/>
  <c r="AJ47" i="1" s="1"/>
  <c r="AF44" i="1"/>
  <c r="AH44" i="1" s="1"/>
  <c r="AJ44" i="1" s="1"/>
  <c r="AF43" i="1"/>
  <c r="AH43" i="1" s="1"/>
  <c r="AJ43" i="1" s="1"/>
  <c r="AF42" i="1"/>
  <c r="AH42" i="1" s="1"/>
  <c r="AJ42" i="1" s="1"/>
  <c r="AF41" i="1"/>
  <c r="AH41" i="1" s="1"/>
  <c r="AJ41" i="1" s="1"/>
  <c r="AF40" i="1"/>
  <c r="AH40" i="1" s="1"/>
  <c r="AJ40" i="1" s="1"/>
  <c r="AF39" i="1"/>
  <c r="AH39" i="1" s="1"/>
  <c r="AJ39" i="1" s="1"/>
  <c r="AF37" i="1"/>
  <c r="AH37" i="1" s="1"/>
  <c r="AJ37" i="1" s="1"/>
  <c r="AF36" i="1"/>
  <c r="AH36" i="1" s="1"/>
  <c r="AJ36" i="1" s="1"/>
  <c r="AF33" i="1"/>
  <c r="AH33" i="1" s="1"/>
  <c r="AJ33" i="1" s="1"/>
  <c r="AC52" i="1"/>
  <c r="AE52" i="1" s="1"/>
  <c r="AC51" i="1"/>
  <c r="AE51" i="1" s="1"/>
  <c r="AC49" i="1"/>
  <c r="AE49" i="1" s="1"/>
  <c r="AC47" i="1"/>
  <c r="AE47" i="1" s="1"/>
  <c r="AC45" i="1"/>
  <c r="AC44" i="1"/>
  <c r="AE44" i="1" s="1"/>
  <c r="AC43" i="1"/>
  <c r="AE43" i="1" s="1"/>
  <c r="AC42" i="1"/>
  <c r="AE42" i="1" s="1"/>
  <c r="AC41" i="1"/>
  <c r="AE41" i="1" s="1"/>
  <c r="AC40" i="1"/>
  <c r="AE40" i="1" s="1"/>
  <c r="AC39" i="1"/>
  <c r="AE39" i="1" s="1"/>
  <c r="AC36" i="1"/>
  <c r="AE36" i="1" s="1"/>
  <c r="AC35" i="1"/>
  <c r="AC33" i="1"/>
  <c r="AE33" i="1" s="1"/>
  <c r="AC37" i="1"/>
  <c r="AE37" i="1" s="1"/>
  <c r="F58" i="1" l="1"/>
  <c r="AE54" i="1"/>
  <c r="Y54" i="1" l="1"/>
  <c r="AF32" i="1"/>
  <c r="AH32" i="1" s="1"/>
  <c r="AJ32" i="1" s="1"/>
  <c r="AF31" i="1"/>
  <c r="AF30" i="1"/>
  <c r="AH30" i="1" s="1"/>
  <c r="AJ30" i="1" s="1"/>
  <c r="AF29" i="1"/>
  <c r="AF28" i="1"/>
  <c r="AH28" i="1" s="1"/>
  <c r="AF27" i="1"/>
  <c r="AH27" i="1" s="1"/>
  <c r="AJ27" i="1" s="1"/>
  <c r="F62" i="1" s="1"/>
  <c r="AF26" i="1"/>
  <c r="AF25" i="1"/>
  <c r="AF24" i="1"/>
  <c r="AF23" i="1"/>
  <c r="AF22" i="1"/>
  <c r="AH22" i="1" s="1"/>
  <c r="AJ22" i="1" s="1"/>
  <c r="F60" i="1" s="1"/>
  <c r="AF21" i="1"/>
  <c r="AF20" i="1"/>
  <c r="AF19" i="1" l="1"/>
  <c r="AH19" i="1" s="1"/>
  <c r="AJ19" i="1" s="1"/>
  <c r="F59" i="1" s="1"/>
  <c r="AF18" i="1"/>
  <c r="T29" i="1" l="1"/>
  <c r="Q19" i="1"/>
  <c r="R18" i="1"/>
  <c r="T18" i="1" s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R20" i="1"/>
  <c r="R21" i="1"/>
  <c r="T21" i="1" s="1"/>
  <c r="R22" i="1"/>
  <c r="T22" i="1" s="1"/>
  <c r="R23" i="1"/>
  <c r="T23" i="1" s="1"/>
  <c r="R24" i="1"/>
  <c r="R25" i="1"/>
  <c r="T25" i="1" s="1"/>
  <c r="R26" i="1"/>
  <c r="R27" i="1"/>
  <c r="T27" i="1" s="1"/>
  <c r="R28" i="1"/>
  <c r="T28" i="1" s="1"/>
  <c r="R29" i="1"/>
  <c r="R30" i="1"/>
  <c r="T30" i="1" s="1"/>
  <c r="R31" i="1"/>
  <c r="T31" i="1" s="1"/>
  <c r="R32" i="1"/>
  <c r="T32" i="1" s="1"/>
  <c r="R19" i="1"/>
  <c r="T19" i="1" s="1"/>
  <c r="E14" i="1" l="1"/>
  <c r="F7" i="1"/>
  <c r="AF7" i="1" s="1"/>
  <c r="F8" i="1"/>
  <c r="AF8" i="1" s="1"/>
  <c r="F9" i="1"/>
  <c r="AF9" i="1" s="1"/>
  <c r="F10" i="1"/>
  <c r="AF10" i="1" s="1"/>
  <c r="F11" i="1"/>
  <c r="AF11" i="1" s="1"/>
  <c r="F12" i="1"/>
  <c r="AF12" i="1" s="1"/>
  <c r="F13" i="1"/>
  <c r="AF13" i="1" s="1"/>
  <c r="F14" i="1"/>
  <c r="AF14" i="1" s="1"/>
  <c r="F15" i="1"/>
  <c r="AF15" i="1" s="1"/>
  <c r="F16" i="1"/>
  <c r="AF16" i="1" s="1"/>
  <c r="F17" i="1"/>
  <c r="AF17" i="1" s="1"/>
  <c r="F6" i="1"/>
  <c r="AF6" i="1" s="1"/>
  <c r="F5" i="1"/>
  <c r="AF5" i="1" s="1"/>
  <c r="F4" i="1"/>
  <c r="AF4" i="1" s="1"/>
  <c r="I16" i="1" l="1"/>
  <c r="AH31" i="1" l="1"/>
  <c r="AJ31" i="1" s="1"/>
  <c r="AH29" i="1"/>
  <c r="AJ29" i="1" s="1"/>
  <c r="AJ28" i="1"/>
  <c r="AH26" i="1"/>
  <c r="AJ26" i="1" s="1"/>
  <c r="AH25" i="1"/>
  <c r="AJ25" i="1" s="1"/>
  <c r="AH24" i="1"/>
  <c r="AJ24" i="1" s="1"/>
  <c r="AH23" i="1"/>
  <c r="AJ23" i="1" s="1"/>
  <c r="AH21" i="1"/>
  <c r="AJ21" i="1" s="1"/>
  <c r="AH20" i="1"/>
  <c r="AJ20" i="1" s="1"/>
  <c r="AH18" i="1"/>
  <c r="AJ18" i="1" s="1"/>
  <c r="AH17" i="1"/>
  <c r="AJ17" i="1" s="1"/>
  <c r="AH16" i="1"/>
  <c r="AJ16" i="1" s="1"/>
  <c r="AH15" i="1"/>
  <c r="AJ15" i="1" s="1"/>
  <c r="AH14" i="1"/>
  <c r="AJ14" i="1" s="1"/>
  <c r="AH13" i="1"/>
  <c r="AJ13" i="1" s="1"/>
  <c r="F63" i="1" s="1"/>
  <c r="AH12" i="1"/>
  <c r="AJ12" i="1" s="1"/>
  <c r="AH11" i="1"/>
  <c r="AJ11" i="1" s="1"/>
  <c r="AH10" i="1"/>
  <c r="AJ10" i="1" s="1"/>
  <c r="AH9" i="1"/>
  <c r="AJ9" i="1" s="1"/>
  <c r="AH8" i="1"/>
  <c r="AJ8" i="1" s="1"/>
  <c r="AH7" i="1"/>
  <c r="AJ7" i="1" s="1"/>
  <c r="AH6" i="1"/>
  <c r="AJ6" i="1" s="1"/>
  <c r="AH5" i="1"/>
  <c r="AJ5" i="1" s="1"/>
  <c r="AH4" i="1"/>
  <c r="AJ4" i="1" s="1"/>
  <c r="I13" i="1"/>
  <c r="I12" i="1"/>
  <c r="I11" i="1"/>
  <c r="I10" i="1"/>
  <c r="I9" i="1"/>
  <c r="I8" i="1"/>
  <c r="I7" i="1"/>
  <c r="I6" i="1"/>
  <c r="I5" i="1"/>
  <c r="I4" i="1"/>
  <c r="I17" i="1"/>
  <c r="I14" i="1"/>
  <c r="K14" i="1" s="1"/>
  <c r="I15" i="1"/>
  <c r="F64" i="1" l="1"/>
  <c r="AJ54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54" i="1" l="1"/>
  <c r="K17" i="1"/>
  <c r="K15" i="1"/>
  <c r="K6" i="1"/>
  <c r="K7" i="1"/>
  <c r="K8" i="1"/>
  <c r="K9" i="1"/>
  <c r="K10" i="1"/>
  <c r="K11" i="1"/>
  <c r="K12" i="1"/>
  <c r="K13" i="1"/>
  <c r="K5" i="1"/>
  <c r="K4" i="1"/>
  <c r="K16" i="1"/>
  <c r="F65" i="1" l="1"/>
</calcChain>
</file>

<file path=xl/sharedStrings.xml><?xml version="1.0" encoding="utf-8"?>
<sst xmlns="http://schemas.openxmlformats.org/spreadsheetml/2006/main" count="357" uniqueCount="133">
  <si>
    <t>Perceel</t>
  </si>
  <si>
    <t>Product</t>
  </si>
  <si>
    <t>Budget</t>
  </si>
  <si>
    <t>Verpakking 
eenheid</t>
  </si>
  <si>
    <t>Totaal volume</t>
  </si>
  <si>
    <t>Eenheid</t>
  </si>
  <si>
    <t>Omzetting 
naar ton</t>
  </si>
  <si>
    <t>Aangekochte 
eenheden</t>
  </si>
  <si>
    <t>Verdeelde 
eenheden</t>
  </si>
  <si>
    <t>Lot</t>
  </si>
  <si>
    <t>Produit</t>
  </si>
  <si>
    <t>Emballage unité</t>
  </si>
  <si>
    <t>Volume total</t>
  </si>
  <si>
    <t>Unité</t>
  </si>
  <si>
    <t>Conversion en tonnes</t>
  </si>
  <si>
    <t>Unités distribuées</t>
  </si>
  <si>
    <t>Lait demi-écrémé
Halfvolle melk</t>
  </si>
  <si>
    <t>Saumon en conserve
Zalm in blik</t>
  </si>
  <si>
    <t>Filets de maquereaux à la sauce tomate
Makreelfilets in tomatensaus</t>
  </si>
  <si>
    <t xml:space="preserve">Purée de pommes de terre nature en flocons
Aardappelvlokken </t>
  </si>
  <si>
    <t>Tomates pelées
Gepelde tomaten</t>
  </si>
  <si>
    <t>Petits pois et carottes
Erwten en wortelen</t>
  </si>
  <si>
    <t>Cocktail de fruits
Fruitcocktail op lichte siroop</t>
  </si>
  <si>
    <t>Huile d'arachide
Arachideolie</t>
  </si>
  <si>
    <t>Confiture extra aux quatre fruits rouges
Extra confituur van vier soorten rood fruit</t>
  </si>
  <si>
    <t>Céréales pour petit-déjeuner (blé soufflé enrobé de miel)
Ontbijtgranen (gepofte tarwe bedekt met honing)</t>
  </si>
  <si>
    <t>Pudding en poudre
Vanillepuddingpoeder</t>
  </si>
  <si>
    <t>Tonnes
Ton</t>
  </si>
  <si>
    <t>Lien avec les indicateurs de réalisation
Link met outputindicatoren</t>
  </si>
  <si>
    <t>Produits laitiers
Zuilverproducten</t>
  </si>
  <si>
    <t>Plats cuisinés, autres denrées alimentaires (qui ne relèvent pas des catégories susmentionnées)
Kant-en-klare levensmiddelen, andere levensmiddelen</t>
  </si>
  <si>
    <t>Graisses, huiles
Vet, olie</t>
  </si>
  <si>
    <t>Fruits et légumes
Fruit en groeten</t>
  </si>
  <si>
    <t>Farine, pain, pommes de terre, riz et autres produits riches en amidon
Meel, brood, aardappelen, rijst en andere zetmeelhoudende producten</t>
  </si>
  <si>
    <t>Unités achetées</t>
  </si>
  <si>
    <t>Macaronis
Macaroni</t>
  </si>
  <si>
    <t>Viandes, œufs, poissons et fruits de mer
Vlees, eieren, vis, schaal- en schelpdieren</t>
  </si>
  <si>
    <t>Champignons
Champignons</t>
  </si>
  <si>
    <t>Semoule/couscous
Griesmeel/couscous</t>
  </si>
  <si>
    <t>Lentilles
Linzen</t>
  </si>
  <si>
    <t>Poulet en sauce
Kip in saus</t>
  </si>
  <si>
    <t>Haricots verts en conserve
Sperziebonen</t>
  </si>
  <si>
    <t>Fromage fondu à tartiner
Smeerkaas</t>
  </si>
  <si>
    <t>Huile d'olive
Olijfolie</t>
  </si>
  <si>
    <t>Confiture extra aux fraises
Aardbeienconfituur extra</t>
  </si>
  <si>
    <t>Pétales de blé au chocolat
Tarwevlokken met chocolade</t>
  </si>
  <si>
    <t>1l</t>
  </si>
  <si>
    <t>168 g</t>
  </si>
  <si>
    <t>125g</t>
  </si>
  <si>
    <t>420g</t>
  </si>
  <si>
    <t>1000g</t>
  </si>
  <si>
    <t>500g</t>
  </si>
  <si>
    <t>400g</t>
  </si>
  <si>
    <t>265g</t>
  </si>
  <si>
    <t>230g</t>
  </si>
  <si>
    <t>410g</t>
  </si>
  <si>
    <t>450g</t>
  </si>
  <si>
    <t>Litre
Liter</t>
  </si>
  <si>
    <t>Gramme
Gram</t>
  </si>
  <si>
    <t>300g</t>
  </si>
  <si>
    <t>375g</t>
  </si>
  <si>
    <t>Pâtes
Pasta</t>
  </si>
  <si>
    <t>140g</t>
  </si>
  <si>
    <t>370g</t>
  </si>
  <si>
    <t>454g</t>
  </si>
  <si>
    <t>2x200g</t>
  </si>
  <si>
    <t>Sardines à l'huile d'olive
Sardienen in olfijolie</t>
  </si>
  <si>
    <t>Mousseline de pommes 
Appelmousseline</t>
  </si>
  <si>
    <t>Chocolat au lait
Melkchocolade</t>
  </si>
  <si>
    <t>Pétales de maïs sucrés
Gesuikerde maïsvlokken</t>
  </si>
  <si>
    <t>-</t>
  </si>
  <si>
    <t>Unités résiduelles campagne 2014</t>
  </si>
  <si>
    <t>Carbonnades de boeuf
Rundstoofvlees</t>
  </si>
  <si>
    <t>Lots 2014
Percelen 2014</t>
  </si>
  <si>
    <t>Lots 2015
Percelen 2015</t>
  </si>
  <si>
    <t>2, 3, 4</t>
  </si>
  <si>
    <t>7 , 8, 9</t>
  </si>
  <si>
    <t>10, 12, 14</t>
  </si>
  <si>
    <t>5, 6, 13</t>
  </si>
  <si>
    <t>2, 4</t>
  </si>
  <si>
    <t>1, 9</t>
  </si>
  <si>
    <t>3, 7, 8, 10</t>
  </si>
  <si>
    <t>12, 15</t>
  </si>
  <si>
    <t>5, 6, 13, 14</t>
  </si>
  <si>
    <t>Resterende eenheden campagne 2014</t>
  </si>
  <si>
    <t>Unités campagne 2014 livrées après le 31/12/2015</t>
  </si>
  <si>
    <t>Eenheden campagne 2014 geleverd na 31/12/2015</t>
  </si>
  <si>
    <t>Unités livrées au 31/12/2016</t>
  </si>
  <si>
    <t>Hoeveelheden aangekocht aan de basis</t>
  </si>
  <si>
    <t>Hoeveelheden verdeeld in 2014</t>
  </si>
  <si>
    <t>Hoeveelheden verdeeld in 2015</t>
  </si>
  <si>
    <t>Unités campagne 2015 livrées après le 31/12/2015</t>
  </si>
  <si>
    <t>Eenheden campagne 2015 geleverd na 31/12/2015</t>
  </si>
  <si>
    <t>Unités résiduelles campagne 2015</t>
  </si>
  <si>
    <t>Resterende eenheden campagne 2015</t>
  </si>
  <si>
    <t xml:space="preserve">
QUANTITES DISTRIBUEES 2016
VERDEELDE HOEVEELHEDEN 2016</t>
  </si>
  <si>
    <t>QUANTITES RESIDUELLES CAMPAGNE 2014
RESTERENDE HOEVEELHEDEN CAMPAGNE 2014</t>
  </si>
  <si>
    <t>QUANTITES RESIDUELLES CAMPAGNE 2015
RESTERENDE HOEVEELHEDEN CAMPAGNE 2015</t>
  </si>
  <si>
    <t>QUANTITES LIVREES CAMPAGNE 2016
GELEVERDE HOEVEELHEDEN CAMPAGNE 2016</t>
  </si>
  <si>
    <t>Lots 2016
Percelen 2016</t>
  </si>
  <si>
    <t>Salade de riz au thon
Rijstsalade met tonijn</t>
  </si>
  <si>
    <t>Pâtes: Penne
Pasta: Penne</t>
  </si>
  <si>
    <t>Pâtes: Farfalle
Pasta: Farfalle</t>
  </si>
  <si>
    <t>Riz
Rijst</t>
  </si>
  <si>
    <t>Volume total livré au 31/12/2016</t>
  </si>
  <si>
    <t>Totaal volume geleverd op 31/12/2016</t>
  </si>
  <si>
    <t>Pois chiches
Kikkererwten</t>
  </si>
  <si>
    <t>Hoeveelheden geleverd in 2015</t>
  </si>
  <si>
    <t>Unités distribuées
en 2014</t>
  </si>
  <si>
    <t>Unités distribuées
en 2015</t>
  </si>
  <si>
    <t>Eenheden geleverd op 31/12/2016</t>
  </si>
  <si>
    <t>100g</t>
  </si>
  <si>
    <t>Soupe de tomates-légumes au bouillon de légumes
Groentesoep met groentebouillon</t>
  </si>
  <si>
    <t>Farine de blé
Tarwemeel</t>
  </si>
  <si>
    <t>Macédoine de légumes
Groentemacdoine</t>
  </si>
  <si>
    <t>Mousseline de pomme
Appelmousseline</t>
  </si>
  <si>
    <t>Huile d’olive
Olijfolie</t>
  </si>
  <si>
    <t>Biscuits secs «petit beurre»
Droge koekjes "petit beurre"</t>
  </si>
  <si>
    <t>Chocolat noir issu du commerce équitable
Fairtrade fondant chocolade</t>
  </si>
  <si>
    <t>Poulet sauce forestière
Kip in champignonsaus</t>
  </si>
  <si>
    <t>Sucre
Suiker</t>
  </si>
  <si>
    <t>Maquereaux à l’huile d’olive
Makreel in olijfolie</t>
  </si>
  <si>
    <t>250g</t>
  </si>
  <si>
    <t>475g</t>
  </si>
  <si>
    <t>200g</t>
  </si>
  <si>
    <t>Quantité de sucre
Hoeveelheid suiker</t>
  </si>
  <si>
    <t>10, 11, 12, 13</t>
  </si>
  <si>
    <t>1, 15</t>
  </si>
  <si>
    <t>5, 7, 8, 9, 21</t>
  </si>
  <si>
    <t>3,4, 16, 18, 19, 20</t>
  </si>
  <si>
    <t>Unités achetées
à la base</t>
  </si>
  <si>
    <t>Quantités livrées en 2015</t>
  </si>
  <si>
    <t>Quantités distribuées 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</si>
</sst>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&quot;€&quot;\ \-#,##0.00"/>
    <numFmt numFmtId="164" formatCode="#,##0\ &quot;€&quot;"/>
    <numFmt numFmtId="165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</cellStyleXfs>
  <cellXfs count="28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/>
    <xf numFmtId="3" fontId="0" fillId="0" borderId="0" xfId="0" applyNumberFormat="1"/>
    <xf numFmtId="0" fontId="0" fillId="0" borderId="1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4" fontId="0" fillId="0" borderId="9" xfId="0" applyNumberFormat="1" applyFont="1" applyBorder="1"/>
    <xf numFmtId="4" fontId="0" fillId="0" borderId="4" xfId="0" applyNumberFormat="1" applyFont="1" applyBorder="1"/>
    <xf numFmtId="0" fontId="0" fillId="0" borderId="14" xfId="0" applyFont="1" applyBorder="1" applyAlignment="1">
      <alignment horizontal="right"/>
    </xf>
    <xf numFmtId="4" fontId="0" fillId="0" borderId="16" xfId="0" applyNumberFormat="1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24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vertical="center"/>
    </xf>
    <xf numFmtId="3" fontId="0" fillId="0" borderId="1" xfId="0" applyNumberFormat="1" applyFont="1" applyFill="1" applyBorder="1" applyAlignment="1" applyProtection="1">
      <alignment vertical="center"/>
    </xf>
    <xf numFmtId="0" fontId="0" fillId="0" borderId="30" xfId="0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4" fontId="0" fillId="0" borderId="4" xfId="0" applyNumberFormat="1" applyFont="1" applyFill="1" applyBorder="1" applyAlignment="1" applyProtection="1">
      <alignment vertical="center"/>
    </xf>
    <xf numFmtId="3" fontId="0" fillId="0" borderId="14" xfId="0" applyNumberFormat="1" applyFont="1" applyFill="1" applyBorder="1" applyAlignment="1" applyProtection="1">
      <alignment vertical="center"/>
    </xf>
    <xf numFmtId="4" fontId="0" fillId="0" borderId="16" xfId="0" applyNumberFormat="1" applyFont="1" applyFill="1" applyBorder="1" applyAlignment="1" applyProtection="1">
      <alignment vertical="center"/>
    </xf>
    <xf numFmtId="0" fontId="0" fillId="9" borderId="15" xfId="0" applyFont="1" applyFill="1" applyBorder="1" applyAlignment="1">
      <alignment vertical="center"/>
    </xf>
    <xf numFmtId="0" fontId="0" fillId="9" borderId="14" xfId="0" applyFont="1" applyFill="1" applyBorder="1" applyAlignment="1">
      <alignment vertical="center" wrapText="1"/>
    </xf>
    <xf numFmtId="164" fontId="0" fillId="9" borderId="26" xfId="0" applyNumberFormat="1" applyFont="1" applyFill="1" applyBorder="1" applyAlignment="1" applyProtection="1">
      <alignment horizontal="right" vertical="center"/>
    </xf>
    <xf numFmtId="164" fontId="0" fillId="9" borderId="29" xfId="0" applyNumberFormat="1" applyFont="1" applyFill="1" applyBorder="1" applyAlignment="1" applyProtection="1">
      <alignment horizontal="right" vertical="center"/>
    </xf>
    <xf numFmtId="164" fontId="0" fillId="9" borderId="30" xfId="0" applyNumberFormat="1" applyFont="1" applyFill="1" applyBorder="1" applyAlignment="1" applyProtection="1">
      <alignment horizontal="right" vertical="center"/>
    </xf>
    <xf numFmtId="3" fontId="0" fillId="9" borderId="30" xfId="0" applyNumberFormat="1" applyFont="1" applyFill="1" applyBorder="1" applyAlignment="1" applyProtection="1">
      <alignment horizontal="right" vertical="center"/>
    </xf>
    <xf numFmtId="0" fontId="0" fillId="9" borderId="30" xfId="0" applyFont="1" applyFill="1" applyBorder="1" applyAlignment="1">
      <alignment vertical="center"/>
    </xf>
    <xf numFmtId="0" fontId="0" fillId="9" borderId="30" xfId="0" applyFont="1" applyFill="1" applyBorder="1" applyAlignment="1">
      <alignment horizontal="center" vertical="center" wrapText="1"/>
    </xf>
    <xf numFmtId="164" fontId="0" fillId="9" borderId="3" xfId="0" applyNumberFormat="1" applyFont="1" applyFill="1" applyBorder="1" applyAlignment="1" applyProtection="1">
      <alignment horizontal="right" vertical="center"/>
    </xf>
    <xf numFmtId="164" fontId="0" fillId="9" borderId="1" xfId="0" applyNumberFormat="1" applyFont="1" applyFill="1" applyBorder="1" applyAlignment="1" applyProtection="1">
      <alignment horizontal="right" vertical="center"/>
    </xf>
    <xf numFmtId="3" fontId="0" fillId="9" borderId="1" xfId="0" applyNumberFormat="1" applyFont="1" applyFill="1" applyBorder="1" applyAlignment="1" applyProtection="1">
      <alignment horizontal="right" vertical="center"/>
    </xf>
    <xf numFmtId="0" fontId="0" fillId="9" borderId="1" xfId="0" applyFont="1" applyFill="1" applyBorder="1" applyAlignment="1">
      <alignment vertical="center"/>
    </xf>
    <xf numFmtId="3" fontId="0" fillId="9" borderId="1" xfId="0" applyNumberFormat="1" applyFont="1" applyFill="1" applyBorder="1" applyAlignment="1">
      <alignment vertical="center"/>
    </xf>
    <xf numFmtId="0" fontId="0" fillId="9" borderId="1" xfId="0" applyFont="1" applyFill="1" applyBorder="1" applyAlignment="1">
      <alignment horizontal="center" vertical="center" wrapText="1"/>
    </xf>
    <xf numFmtId="3" fontId="0" fillId="9" borderId="1" xfId="0" applyNumberFormat="1" applyFont="1" applyFill="1" applyBorder="1" applyAlignment="1" applyProtection="1">
      <alignment vertical="center"/>
    </xf>
    <xf numFmtId="3" fontId="0" fillId="9" borderId="1" xfId="0" applyNumberFormat="1" applyFont="1" applyFill="1" applyBorder="1" applyAlignment="1" applyProtection="1">
      <alignment horizontal="center" vertical="center"/>
    </xf>
    <xf numFmtId="1" fontId="0" fillId="2" borderId="15" xfId="0" applyNumberFormat="1" applyFont="1" applyFill="1" applyBorder="1" applyAlignment="1" applyProtection="1">
      <alignment horizontal="right" vertical="center"/>
    </xf>
    <xf numFmtId="1" fontId="0" fillId="2" borderId="5" xfId="0" applyNumberFormat="1" applyFont="1" applyFill="1" applyBorder="1" applyAlignment="1" applyProtection="1">
      <alignment horizontal="right" vertical="center"/>
    </xf>
    <xf numFmtId="4" fontId="0" fillId="9" borderId="31" xfId="0" applyNumberFormat="1" applyFont="1" applyFill="1" applyBorder="1" applyAlignment="1">
      <alignment vertical="center"/>
    </xf>
    <xf numFmtId="4" fontId="0" fillId="9" borderId="4" xfId="0" applyNumberFormat="1" applyFont="1" applyFill="1" applyBorder="1" applyAlignment="1">
      <alignment vertical="center"/>
    </xf>
    <xf numFmtId="3" fontId="0" fillId="9" borderId="4" xfId="0" applyNumberFormat="1" applyFont="1" applyFill="1" applyBorder="1" applyAlignment="1" applyProtection="1">
      <alignment vertical="center"/>
    </xf>
    <xf numFmtId="164" fontId="0" fillId="2" borderId="14" xfId="0" applyNumberFormat="1" applyFont="1" applyFill="1" applyBorder="1" applyAlignment="1" applyProtection="1">
      <alignment horizontal="left" vertical="center" wrapText="1"/>
    </xf>
    <xf numFmtId="164" fontId="0" fillId="2" borderId="22" xfId="0" applyNumberFormat="1" applyFont="1" applyFill="1" applyBorder="1" applyAlignment="1" applyProtection="1">
      <alignment horizontal="left" vertical="center" wrapText="1"/>
    </xf>
    <xf numFmtId="3" fontId="0" fillId="9" borderId="14" xfId="0" applyNumberFormat="1" applyFont="1" applyFill="1" applyBorder="1" applyAlignment="1" applyProtection="1">
      <alignment horizontal="right" vertical="center"/>
    </xf>
    <xf numFmtId="4" fontId="0" fillId="2" borderId="4" xfId="0" applyNumberFormat="1" applyFont="1" applyFill="1" applyBorder="1" applyAlignment="1" applyProtection="1">
      <alignment horizontal="right" vertical="center"/>
    </xf>
    <xf numFmtId="4" fontId="0" fillId="2" borderId="6" xfId="0" applyNumberFormat="1" applyFont="1" applyFill="1" applyBorder="1" applyAlignment="1" applyProtection="1">
      <alignment horizontal="right" vertical="center"/>
    </xf>
    <xf numFmtId="0" fontId="0" fillId="9" borderId="17" xfId="0" applyFont="1" applyFill="1" applyBorder="1"/>
    <xf numFmtId="0" fontId="0" fillId="9" borderId="19" xfId="0" applyFont="1" applyFill="1" applyBorder="1"/>
    <xf numFmtId="0" fontId="0" fillId="9" borderId="11" xfId="0" applyFont="1" applyFill="1" applyBorder="1"/>
    <xf numFmtId="164" fontId="0" fillId="2" borderId="1" xfId="0" applyNumberFormat="1" applyFont="1" applyFill="1" applyBorder="1" applyAlignment="1" applyProtection="1">
      <alignment horizontal="center" vertical="center" wrapText="1"/>
    </xf>
    <xf numFmtId="164" fontId="0" fillId="2" borderId="30" xfId="0" applyNumberFormat="1" applyFont="1" applyFill="1" applyBorder="1" applyAlignment="1" applyProtection="1">
      <alignment horizontal="center" vertical="center" wrapText="1"/>
    </xf>
    <xf numFmtId="4" fontId="4" fillId="0" borderId="13" xfId="0" applyNumberFormat="1" applyFont="1" applyBorder="1"/>
    <xf numFmtId="164" fontId="0" fillId="2" borderId="23" xfId="0" applyNumberFormat="1" applyFont="1" applyFill="1" applyBorder="1" applyAlignment="1" applyProtection="1">
      <alignment horizontal="center" vertical="center" wrapText="1"/>
    </xf>
    <xf numFmtId="164" fontId="0" fillId="2" borderId="23" xfId="0" applyNumberFormat="1" applyFont="1" applyFill="1" applyBorder="1" applyAlignment="1" applyProtection="1">
      <alignment horizontal="left" vertical="center"/>
    </xf>
    <xf numFmtId="0" fontId="0" fillId="0" borderId="3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Fill="1" applyBorder="1" applyAlignment="1" applyProtection="1">
      <alignment horizontal="left" vertical="center"/>
    </xf>
    <xf numFmtId="3" fontId="0" fillId="0" borderId="14" xfId="0" applyNumberFormat="1" applyFont="1" applyFill="1" applyBorder="1" applyAlignment="1" applyProtection="1">
      <alignment horizontal="left" vertical="center"/>
    </xf>
    <xf numFmtId="164" fontId="0" fillId="9" borderId="14" xfId="0" applyNumberFormat="1" applyFont="1" applyFill="1" applyBorder="1" applyAlignment="1" applyProtection="1">
      <alignment horizontal="right" vertical="center"/>
    </xf>
    <xf numFmtId="164" fontId="0" fillId="2" borderId="2" xfId="0" applyNumberFormat="1" applyFont="1" applyFill="1" applyBorder="1" applyAlignment="1" applyProtection="1">
      <alignment horizontal="left" vertical="center"/>
    </xf>
    <xf numFmtId="164" fontId="0" fillId="2" borderId="1" xfId="0" applyNumberFormat="1" applyFont="1" applyFill="1" applyBorder="1" applyAlignment="1" applyProtection="1">
      <alignment horizontal="left" vertical="center" wrapText="1"/>
    </xf>
    <xf numFmtId="1" fontId="0" fillId="2" borderId="3" xfId="0" applyNumberFormat="1" applyFont="1" applyFill="1" applyBorder="1" applyAlignment="1" applyProtection="1">
      <alignment horizontal="right" vertical="center"/>
    </xf>
    <xf numFmtId="4" fontId="0" fillId="9" borderId="4" xfId="0" applyNumberFormat="1" applyFont="1" applyFill="1" applyBorder="1" applyAlignment="1" applyProtection="1">
      <alignment horizontal="right" vertical="center"/>
    </xf>
    <xf numFmtId="0" fontId="0" fillId="9" borderId="3" xfId="0" applyFont="1" applyFill="1" applyBorder="1" applyAlignment="1">
      <alignment vertical="center"/>
    </xf>
    <xf numFmtId="0" fontId="0" fillId="9" borderId="1" xfId="0" applyFont="1" applyFill="1" applyBorder="1" applyAlignment="1">
      <alignment vertical="center" wrapText="1"/>
    </xf>
    <xf numFmtId="164" fontId="0" fillId="9" borderId="2" xfId="0" applyNumberFormat="1" applyFont="1" applyFill="1" applyBorder="1" applyAlignment="1" applyProtection="1">
      <alignment horizontal="right" vertical="center"/>
    </xf>
    <xf numFmtId="3" fontId="0" fillId="2" borderId="30" xfId="0" applyNumberFormat="1" applyFont="1" applyFill="1" applyBorder="1" applyAlignment="1" applyProtection="1">
      <alignment horizontal="left" vertical="center"/>
    </xf>
    <xf numFmtId="3" fontId="0" fillId="2" borderId="1" xfId="0" applyNumberFormat="1" applyFont="1" applyFill="1" applyBorder="1" applyAlignment="1" applyProtection="1">
      <alignment horizontal="left" vertical="center"/>
    </xf>
    <xf numFmtId="3" fontId="0" fillId="2" borderId="22" xfId="0" applyNumberFormat="1" applyFont="1" applyFill="1" applyBorder="1" applyAlignment="1" applyProtection="1">
      <alignment horizontal="left" vertical="center"/>
    </xf>
    <xf numFmtId="3" fontId="0" fillId="0" borderId="0" xfId="0" applyNumberFormat="1"/>
    <xf numFmtId="3" fontId="0" fillId="0" borderId="0" xfId="0" applyNumberFormat="1"/>
    <xf numFmtId="3" fontId="0" fillId="9" borderId="2" xfId="0" applyNumberFormat="1" applyFont="1" applyFill="1" applyBorder="1" applyAlignment="1" applyProtection="1">
      <alignment horizontal="right" vertical="center"/>
    </xf>
    <xf numFmtId="3" fontId="0" fillId="9" borderId="26" xfId="0" applyNumberFormat="1" applyFont="1" applyFill="1" applyBorder="1" applyAlignment="1" applyProtection="1">
      <alignment horizontal="right" vertical="center"/>
    </xf>
    <xf numFmtId="0" fontId="0" fillId="0" borderId="35" xfId="0" applyFont="1" applyBorder="1" applyAlignment="1">
      <alignment vertical="center"/>
    </xf>
    <xf numFmtId="4" fontId="0" fillId="0" borderId="36" xfId="0" applyNumberFormat="1" applyFont="1" applyBorder="1" applyAlignment="1">
      <alignment vertical="center"/>
    </xf>
    <xf numFmtId="4" fontId="4" fillId="0" borderId="0" xfId="0" applyNumberFormat="1" applyFont="1" applyBorder="1"/>
    <xf numFmtId="4" fontId="0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3" fontId="0" fillId="0" borderId="1" xfId="0" applyNumberFormat="1" applyBorder="1" applyAlignment="1">
      <alignment horizontal="left" vertical="center"/>
    </xf>
    <xf numFmtId="3" fontId="0" fillId="0" borderId="30" xfId="0" applyNumberFormat="1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left" vertical="center"/>
    </xf>
    <xf numFmtId="3" fontId="0" fillId="9" borderId="14" xfId="0" applyNumberFormat="1" applyFont="1" applyFill="1" applyBorder="1" applyAlignment="1" applyProtection="1">
      <alignment vertical="center"/>
    </xf>
    <xf numFmtId="3" fontId="0" fillId="9" borderId="14" xfId="0" applyNumberFormat="1" applyFont="1" applyFill="1" applyBorder="1" applyAlignment="1" applyProtection="1">
      <alignment horizontal="center" vertical="center"/>
    </xf>
    <xf numFmtId="4" fontId="0" fillId="9" borderId="4" xfId="0" applyNumberFormat="1" applyFont="1" applyFill="1" applyBorder="1" applyAlignment="1" applyProtection="1">
      <alignment vertical="center"/>
    </xf>
    <xf numFmtId="3" fontId="0" fillId="2" borderId="35" xfId="0" applyNumberFormat="1" applyFont="1" applyFill="1" applyBorder="1" applyAlignment="1" applyProtection="1">
      <alignment horizontal="center" vertical="center"/>
    </xf>
    <xf numFmtId="3" fontId="0" fillId="2" borderId="2" xfId="0" applyNumberFormat="1" applyFont="1" applyFill="1" applyBorder="1" applyAlignment="1" applyProtection="1">
      <alignment horizontal="center" vertical="center"/>
    </xf>
    <xf numFmtId="3" fontId="0" fillId="2" borderId="23" xfId="0" applyNumberFormat="1" applyFont="1" applyFill="1" applyBorder="1" applyAlignment="1" applyProtection="1">
      <alignment horizontal="center" vertical="center"/>
    </xf>
    <xf numFmtId="4" fontId="0" fillId="9" borderId="35" xfId="0" applyNumberFormat="1" applyFont="1" applyFill="1" applyBorder="1" applyAlignment="1">
      <alignment vertical="center"/>
    </xf>
    <xf numFmtId="4" fontId="0" fillId="9" borderId="2" xfId="0" applyNumberFormat="1" applyFont="1" applyFill="1" applyBorder="1" applyAlignment="1">
      <alignment vertical="center"/>
    </xf>
    <xf numFmtId="3" fontId="0" fillId="9" borderId="2" xfId="0" applyNumberFormat="1" applyFont="1" applyFill="1" applyBorder="1" applyAlignment="1" applyProtection="1">
      <alignment vertical="center"/>
    </xf>
    <xf numFmtId="4" fontId="0" fillId="9" borderId="1" xfId="0" applyNumberFormat="1" applyFont="1" applyFill="1" applyBorder="1" applyAlignment="1">
      <alignment vertical="center"/>
    </xf>
    <xf numFmtId="4" fontId="0" fillId="9" borderId="29" xfId="0" applyNumberFormat="1" applyFont="1" applyFill="1" applyBorder="1" applyAlignment="1">
      <alignment vertical="center"/>
    </xf>
    <xf numFmtId="4" fontId="0" fillId="9" borderId="30" xfId="0" applyNumberFormat="1" applyFont="1" applyFill="1" applyBorder="1" applyAlignment="1">
      <alignment vertical="center"/>
    </xf>
    <xf numFmtId="4" fontId="0" fillId="9" borderId="3" xfId="0" applyNumberFormat="1" applyFont="1" applyFill="1" applyBorder="1" applyAlignment="1">
      <alignment vertical="center"/>
    </xf>
    <xf numFmtId="3" fontId="0" fillId="9" borderId="3" xfId="0" applyNumberFormat="1" applyFont="1" applyFill="1" applyBorder="1" applyAlignment="1" applyProtection="1">
      <alignment vertical="center"/>
    </xf>
    <xf numFmtId="3" fontId="0" fillId="2" borderId="1" xfId="0" applyNumberFormat="1" applyFont="1" applyFill="1" applyBorder="1" applyAlignment="1" applyProtection="1">
      <alignment horizontal="right" vertical="center"/>
    </xf>
    <xf numFmtId="3" fontId="0" fillId="2" borderId="22" xfId="0" applyNumberFormat="1" applyFont="1" applyFill="1" applyBorder="1" applyAlignment="1" applyProtection="1">
      <alignment horizontal="right"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1" fillId="0" borderId="38" xfId="0" applyFont="1" applyBorder="1" applyAlignment="1">
      <alignment horizontal="center" vertical="center" wrapText="1"/>
    </xf>
    <xf numFmtId="3" fontId="0" fillId="2" borderId="30" xfId="0" applyNumberFormat="1" applyFont="1" applyFill="1" applyBorder="1" applyAlignment="1" applyProtection="1">
      <alignment horizontal="right" vertical="center"/>
    </xf>
    <xf numFmtId="3" fontId="0" fillId="0" borderId="30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0" fillId="0" borderId="22" xfId="0" applyNumberFormat="1" applyFont="1" applyFill="1" applyBorder="1" applyAlignment="1" applyProtection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6" fillId="2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vertical="center"/>
    </xf>
    <xf numFmtId="3" fontId="6" fillId="2" borderId="1" xfId="0" applyNumberFormat="1" applyFont="1" applyFill="1" applyBorder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4" fontId="6" fillId="0" borderId="34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0" fillId="9" borderId="15" xfId="0" applyNumberFormat="1" applyFont="1" applyFill="1" applyBorder="1" applyAlignment="1" applyProtection="1">
      <alignment vertical="center"/>
    </xf>
    <xf numFmtId="3" fontId="0" fillId="9" borderId="16" xfId="0" applyNumberFormat="1" applyFont="1" applyFill="1" applyBorder="1" applyAlignment="1" applyProtection="1">
      <alignment vertical="center"/>
    </xf>
    <xf numFmtId="4" fontId="0" fillId="9" borderId="1" xfId="0" applyNumberFormat="1" applyFont="1" applyFill="1" applyBorder="1" applyAlignment="1" applyProtection="1">
      <alignment vertical="center"/>
    </xf>
    <xf numFmtId="4" fontId="0" fillId="9" borderId="3" xfId="0" applyNumberFormat="1" applyFont="1" applyFill="1" applyBorder="1" applyAlignment="1" applyProtection="1">
      <alignment vertical="center"/>
    </xf>
    <xf numFmtId="164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9" borderId="39" xfId="0" applyFont="1" applyFill="1" applyBorder="1" applyAlignment="1">
      <alignment vertical="center"/>
    </xf>
    <xf numFmtId="0" fontId="0" fillId="9" borderId="38" xfId="0" applyFont="1" applyFill="1" applyBorder="1" applyAlignment="1">
      <alignment vertical="center" wrapText="1"/>
    </xf>
    <xf numFmtId="3" fontId="0" fillId="9" borderId="38" xfId="0" applyNumberFormat="1" applyFont="1" applyFill="1" applyBorder="1" applyAlignment="1" applyProtection="1">
      <alignment horizontal="right" vertical="center"/>
    </xf>
    <xf numFmtId="3" fontId="0" fillId="9" borderId="41" xfId="0" applyNumberFormat="1" applyFont="1" applyFill="1" applyBorder="1" applyAlignment="1" applyProtection="1">
      <alignment horizontal="right" vertical="center"/>
    </xf>
    <xf numFmtId="164" fontId="0" fillId="9" borderId="41" xfId="0" applyNumberFormat="1" applyFont="1" applyFill="1" applyBorder="1" applyAlignment="1" applyProtection="1">
      <alignment horizontal="right" vertical="center"/>
    </xf>
    <xf numFmtId="4" fontId="0" fillId="9" borderId="40" xfId="0" applyNumberFormat="1" applyFont="1" applyFill="1" applyBorder="1" applyAlignment="1" applyProtection="1">
      <alignment horizontal="right" vertical="center"/>
    </xf>
    <xf numFmtId="4" fontId="0" fillId="9" borderId="16" xfId="0" applyNumberFormat="1" applyFont="1" applyFill="1" applyBorder="1" applyAlignment="1" applyProtection="1">
      <alignment horizontal="right" vertical="center"/>
    </xf>
    <xf numFmtId="1" fontId="0" fillId="2" borderId="39" xfId="0" applyNumberFormat="1" applyFont="1" applyFill="1" applyBorder="1" applyAlignment="1" applyProtection="1">
      <alignment horizontal="right" vertical="center"/>
    </xf>
    <xf numFmtId="164" fontId="0" fillId="2" borderId="38" xfId="0" applyNumberFormat="1" applyFont="1" applyFill="1" applyBorder="1" applyAlignment="1" applyProtection="1">
      <alignment horizontal="left" vertical="center" wrapText="1"/>
    </xf>
    <xf numFmtId="3" fontId="0" fillId="0" borderId="38" xfId="0" applyNumberFormat="1" applyFont="1" applyFill="1" applyBorder="1" applyAlignment="1" applyProtection="1">
      <alignment horizontal="left" vertical="center"/>
    </xf>
    <xf numFmtId="3" fontId="0" fillId="0" borderId="38" xfId="0" applyNumberFormat="1" applyFont="1" applyFill="1" applyBorder="1" applyAlignment="1" applyProtection="1">
      <alignment vertical="center"/>
    </xf>
    <xf numFmtId="4" fontId="0" fillId="0" borderId="34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 applyProtection="1">
      <alignment horizontal="left" vertical="center"/>
    </xf>
    <xf numFmtId="4" fontId="0" fillId="0" borderId="6" xfId="0" applyNumberFormat="1" applyFont="1" applyFill="1" applyBorder="1" applyAlignment="1" applyProtection="1">
      <alignment vertical="center"/>
    </xf>
    <xf numFmtId="1" fontId="0" fillId="2" borderId="0" xfId="0" applyNumberFormat="1" applyFont="1" applyFill="1" applyBorder="1" applyAlignment="1" applyProtection="1">
      <alignment horizontal="right" vertical="center"/>
    </xf>
    <xf numFmtId="0" fontId="4" fillId="9" borderId="29" xfId="0" applyFont="1" applyFill="1" applyBorder="1" applyAlignment="1">
      <alignment horizontal="center"/>
    </xf>
    <xf numFmtId="0" fontId="4" fillId="9" borderId="30" xfId="0" applyFont="1" applyFill="1" applyBorder="1" applyAlignment="1">
      <alignment horizontal="center"/>
    </xf>
    <xf numFmtId="3" fontId="4" fillId="9" borderId="30" xfId="0" applyNumberFormat="1" applyFont="1" applyFill="1" applyBorder="1"/>
    <xf numFmtId="164" fontId="4" fillId="9" borderId="30" xfId="0" applyNumberFormat="1" applyFont="1" applyFill="1" applyBorder="1" applyAlignment="1">
      <alignment horizontal="center"/>
    </xf>
    <xf numFmtId="4" fontId="4" fillId="9" borderId="31" xfId="0" applyNumberFormat="1" applyFont="1" applyFill="1" applyBorder="1"/>
    <xf numFmtId="0" fontId="4" fillId="9" borderId="3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3" fontId="4" fillId="9" borderId="1" xfId="0" applyNumberFormat="1" applyFont="1" applyFill="1" applyBorder="1"/>
    <xf numFmtId="164" fontId="4" fillId="9" borderId="1" xfId="0" applyNumberFormat="1" applyFont="1" applyFill="1" applyBorder="1" applyAlignment="1">
      <alignment horizontal="center"/>
    </xf>
    <xf numFmtId="4" fontId="4" fillId="9" borderId="4" xfId="0" applyNumberFormat="1" applyFont="1" applyFill="1" applyBorder="1"/>
    <xf numFmtId="164" fontId="4" fillId="9" borderId="3" xfId="0" applyNumberFormat="1" applyFont="1" applyFill="1" applyBorder="1" applyAlignment="1">
      <alignment horizontal="center"/>
    </xf>
    <xf numFmtId="3" fontId="4" fillId="9" borderId="1" xfId="0" applyNumberFormat="1" applyFont="1" applyFill="1" applyBorder="1" applyAlignment="1">
      <alignment horizontal="left"/>
    </xf>
    <xf numFmtId="0" fontId="5" fillId="9" borderId="1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4" fillId="9" borderId="22" xfId="0" applyFont="1" applyFill="1" applyBorder="1" applyAlignment="1">
      <alignment horizontal="center"/>
    </xf>
    <xf numFmtId="3" fontId="4" fillId="9" borderId="22" xfId="0" applyNumberFormat="1" applyFont="1" applyFill="1" applyBorder="1"/>
    <xf numFmtId="164" fontId="4" fillId="9" borderId="22" xfId="0" applyNumberFormat="1" applyFont="1" applyFill="1" applyBorder="1" applyAlignment="1">
      <alignment horizontal="center"/>
    </xf>
    <xf numFmtId="4" fontId="4" fillId="9" borderId="6" xfId="0" applyNumberFormat="1" applyFont="1" applyFill="1" applyBorder="1"/>
    <xf numFmtId="164" fontId="4" fillId="9" borderId="5" xfId="0" applyNumberFormat="1" applyFont="1" applyFill="1" applyBorder="1" applyAlignment="1">
      <alignment horizontal="center"/>
    </xf>
    <xf numFmtId="3" fontId="4" fillId="9" borderId="22" xfId="0" applyNumberFormat="1" applyFont="1" applyFill="1" applyBorder="1" applyAlignment="1">
      <alignment horizontal="left"/>
    </xf>
    <xf numFmtId="0" fontId="5" fillId="9" borderId="22" xfId="0" applyFont="1" applyFill="1" applyBorder="1" applyAlignment="1">
      <alignment horizontal="center"/>
    </xf>
    <xf numFmtId="1" fontId="0" fillId="2" borderId="29" xfId="0" applyNumberFormat="1" applyFont="1" applyFill="1" applyBorder="1" applyAlignment="1" applyProtection="1">
      <alignment horizontal="right" vertical="center"/>
    </xf>
    <xf numFmtId="0" fontId="0" fillId="9" borderId="11" xfId="0" applyFill="1" applyBorder="1"/>
    <xf numFmtId="0" fontId="5" fillId="9" borderId="7" xfId="0" applyFont="1" applyFill="1" applyBorder="1" applyAlignment="1">
      <alignment horizontal="center"/>
    </xf>
    <xf numFmtId="164" fontId="0" fillId="9" borderId="15" xfId="0" applyNumberFormat="1" applyFont="1" applyFill="1" applyBorder="1" applyAlignment="1" applyProtection="1">
      <alignment horizontal="right" vertical="center"/>
    </xf>
    <xf numFmtId="3" fontId="0" fillId="9" borderId="26" xfId="0" applyNumberFormat="1" applyFont="1" applyFill="1" applyBorder="1" applyAlignment="1" applyProtection="1">
      <alignment vertical="center"/>
    </xf>
    <xf numFmtId="164" fontId="4" fillId="9" borderId="8" xfId="0" applyNumberFormat="1" applyFont="1" applyFill="1" applyBorder="1" applyAlignment="1">
      <alignment horizontal="center"/>
    </xf>
    <xf numFmtId="164" fontId="4" fillId="9" borderId="7" xfId="0" applyNumberFormat="1" applyFont="1" applyFill="1" applyBorder="1" applyAlignment="1">
      <alignment horizontal="center"/>
    </xf>
    <xf numFmtId="3" fontId="4" fillId="9" borderId="7" xfId="0" applyNumberFormat="1" applyFont="1" applyFill="1" applyBorder="1" applyAlignment="1">
      <alignment horizontal="left"/>
    </xf>
    <xf numFmtId="4" fontId="4" fillId="9" borderId="9" xfId="0" applyNumberFormat="1" applyFont="1" applyFill="1" applyBorder="1"/>
    <xf numFmtId="3" fontId="0" fillId="0" borderId="30" xfId="0" applyNumberFormat="1" applyFont="1" applyFill="1" applyBorder="1" applyAlignment="1" applyProtection="1">
      <alignment vertical="center"/>
    </xf>
    <xf numFmtId="3" fontId="0" fillId="0" borderId="42" xfId="0" applyNumberFormat="1" applyFont="1" applyFill="1" applyBorder="1" applyAlignment="1" applyProtection="1">
      <alignment horizontal="left" vertical="center"/>
    </xf>
    <xf numFmtId="3" fontId="0" fillId="0" borderId="33" xfId="0" applyNumberFormat="1" applyFont="1" applyFill="1" applyBorder="1" applyAlignment="1" applyProtection="1">
      <alignment horizontal="left" vertical="center"/>
    </xf>
    <xf numFmtId="3" fontId="0" fillId="9" borderId="1" xfId="0" applyNumberFormat="1" applyFont="1" applyFill="1" applyBorder="1" applyAlignment="1" applyProtection="1">
      <alignment horizontal="left" vertical="center"/>
    </xf>
    <xf numFmtId="3" fontId="0" fillId="9" borderId="14" xfId="0" applyNumberFormat="1" applyFont="1" applyFill="1" applyBorder="1" applyAlignment="1" applyProtection="1">
      <alignment horizontal="left" vertical="center"/>
    </xf>
    <xf numFmtId="3" fontId="0" fillId="9" borderId="1" xfId="0" applyNumberFormat="1" applyFill="1" applyBorder="1" applyAlignment="1">
      <alignment horizontal="left" vertical="center"/>
    </xf>
    <xf numFmtId="3" fontId="0" fillId="9" borderId="22" xfId="0" applyNumberFormat="1" applyFont="1" applyFill="1" applyBorder="1" applyAlignment="1" applyProtection="1">
      <alignment horizontal="left" vertical="center"/>
    </xf>
    <xf numFmtId="3" fontId="0" fillId="0" borderId="30" xfId="0" applyNumberFormat="1" applyFont="1" applyFill="1" applyBorder="1" applyAlignment="1" applyProtection="1">
      <alignment horizontal="left" vertical="center"/>
    </xf>
    <xf numFmtId="3" fontId="0" fillId="9" borderId="33" xfId="0" applyNumberFormat="1" applyFont="1" applyFill="1" applyBorder="1" applyAlignment="1" applyProtection="1">
      <alignment horizontal="left" vertical="center"/>
    </xf>
    <xf numFmtId="3" fontId="0" fillId="9" borderId="37" xfId="0" applyNumberFormat="1" applyFont="1" applyFill="1" applyBorder="1" applyAlignment="1">
      <alignment horizontal="left" vertical="center"/>
    </xf>
    <xf numFmtId="3" fontId="0" fillId="0" borderId="8" xfId="0" applyNumberFormat="1" applyFont="1" applyBorder="1" applyAlignment="1">
      <alignment vertical="center"/>
    </xf>
    <xf numFmtId="3" fontId="0" fillId="0" borderId="43" xfId="0" applyNumberFormat="1" applyFont="1" applyFill="1" applyBorder="1" applyAlignment="1" applyProtection="1">
      <alignment vertical="center"/>
    </xf>
    <xf numFmtId="3" fontId="0" fillId="0" borderId="7" xfId="0" applyNumberFormat="1" applyFont="1" applyBorder="1" applyAlignment="1">
      <alignment horizontal="left" vertical="center"/>
    </xf>
    <xf numFmtId="4" fontId="0" fillId="0" borderId="44" xfId="0" applyNumberFormat="1" applyFont="1" applyFill="1" applyBorder="1" applyAlignment="1" applyProtection="1">
      <alignment vertical="center"/>
    </xf>
    <xf numFmtId="3" fontId="0" fillId="0" borderId="22" xfId="0" applyNumberFormat="1" applyFont="1" applyBorder="1" applyAlignment="1">
      <alignment horizontal="left" vertical="center"/>
    </xf>
    <xf numFmtId="3" fontId="0" fillId="0" borderId="22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3" fontId="0" fillId="0" borderId="1" xfId="0" applyNumberFormat="1" applyFont="1" applyFill="1" applyBorder="1" applyAlignment="1">
      <alignment horizontal="left" vertical="center"/>
    </xf>
    <xf numFmtId="164" fontId="0" fillId="0" borderId="30" xfId="0" applyNumberFormat="1" applyFont="1" applyFill="1" applyBorder="1" applyAlignment="1" applyProtection="1">
      <alignment horizontal="center" vertical="center" wrapText="1"/>
    </xf>
    <xf numFmtId="3" fontId="0" fillId="0" borderId="5" xfId="0" applyNumberFormat="1" applyFont="1" applyBorder="1" applyAlignment="1">
      <alignment vertical="center"/>
    </xf>
    <xf numFmtId="164" fontId="0" fillId="2" borderId="22" xfId="0" applyNumberFormat="1" applyFont="1" applyFill="1" applyBorder="1" applyAlignment="1" applyProtection="1">
      <alignment horizontal="center" vertical="center" wrapText="1"/>
    </xf>
    <xf numFmtId="164" fontId="0" fillId="0" borderId="7" xfId="0" applyNumberFormat="1" applyFont="1" applyFill="1" applyBorder="1" applyAlignment="1" applyProtection="1">
      <alignment horizontal="center" vertical="center" wrapText="1"/>
    </xf>
    <xf numFmtId="4" fontId="0" fillId="0" borderId="31" xfId="0" applyNumberFormat="1" applyFont="1" applyFill="1" applyBorder="1" applyAlignment="1" applyProtection="1">
      <alignment vertical="center"/>
    </xf>
    <xf numFmtId="164" fontId="0" fillId="2" borderId="35" xfId="0" applyNumberFormat="1" applyFont="1" applyFill="1" applyBorder="1" applyAlignment="1" applyProtection="1">
      <alignment horizontal="left" vertical="center" wrapText="1"/>
    </xf>
    <xf numFmtId="164" fontId="0" fillId="2" borderId="24" xfId="0" applyNumberFormat="1" applyFont="1" applyFill="1" applyBorder="1" applyAlignment="1" applyProtection="1">
      <alignment horizontal="left" vertical="center" wrapText="1"/>
    </xf>
    <xf numFmtId="164" fontId="0" fillId="2" borderId="46" xfId="0" applyNumberFormat="1" applyFont="1" applyFill="1" applyBorder="1" applyAlignment="1" applyProtection="1">
      <alignment horizontal="left" vertical="center" wrapText="1"/>
    </xf>
    <xf numFmtId="4" fontId="0" fillId="9" borderId="14" xfId="0" applyNumberFormat="1" applyFont="1" applyFill="1" applyBorder="1" applyAlignment="1" applyProtection="1">
      <alignment vertical="center"/>
    </xf>
    <xf numFmtId="4" fontId="0" fillId="9" borderId="15" xfId="0" applyNumberFormat="1" applyFont="1" applyFill="1" applyBorder="1" applyAlignment="1" applyProtection="1">
      <alignment vertical="center"/>
    </xf>
    <xf numFmtId="4" fontId="0" fillId="9" borderId="16" xfId="0" applyNumberFormat="1" applyFont="1" applyFill="1" applyBorder="1" applyAlignment="1" applyProtection="1">
      <alignment vertical="center"/>
    </xf>
    <xf numFmtId="8" fontId="7" fillId="0" borderId="30" xfId="0" applyNumberFormat="1" applyFont="1" applyBorder="1" applyAlignment="1">
      <alignment horizontal="right" vertical="center" wrapText="1"/>
    </xf>
    <xf numFmtId="8" fontId="7" fillId="0" borderId="1" xfId="0" applyNumberFormat="1" applyFont="1" applyBorder="1" applyAlignment="1">
      <alignment horizontal="right" vertical="center" wrapText="1"/>
    </xf>
    <xf numFmtId="8" fontId="7" fillId="0" borderId="22" xfId="0" applyNumberFormat="1" applyFont="1" applyBorder="1" applyAlignment="1">
      <alignment horizontal="right" vertical="center" wrapText="1"/>
    </xf>
    <xf numFmtId="4" fontId="4" fillId="0" borderId="13" xfId="0" applyNumberFormat="1" applyFont="1" applyFill="1" applyBorder="1"/>
    <xf numFmtId="3" fontId="0" fillId="11" borderId="1" xfId="0" applyNumberFormat="1" applyFont="1" applyFill="1" applyBorder="1" applyAlignment="1" applyProtection="1">
      <alignment horizontal="left" vertical="center"/>
    </xf>
    <xf numFmtId="3" fontId="0" fillId="11" borderId="14" xfId="0" applyNumberFormat="1" applyFont="1" applyFill="1" applyBorder="1" applyAlignment="1" applyProtection="1">
      <alignment vertical="center"/>
    </xf>
    <xf numFmtId="164" fontId="0" fillId="11" borderId="1" xfId="0" applyNumberFormat="1" applyFont="1" applyFill="1" applyBorder="1" applyAlignment="1" applyProtection="1">
      <alignment horizontal="center" vertical="center" wrapText="1"/>
    </xf>
    <xf numFmtId="4" fontId="4" fillId="12" borderId="33" xfId="0" applyNumberFormat="1" applyFont="1" applyFill="1" applyBorder="1"/>
    <xf numFmtId="4" fontId="4" fillId="12" borderId="14" xfId="0" applyNumberFormat="1" applyFont="1" applyFill="1" applyBorder="1"/>
    <xf numFmtId="4" fontId="4" fillId="12" borderId="1" xfId="0" applyNumberFormat="1" applyFont="1" applyFill="1" applyBorder="1"/>
    <xf numFmtId="4" fontId="4" fillId="12" borderId="4" xfId="0" applyNumberFormat="1" applyFont="1" applyFill="1" applyBorder="1"/>
    <xf numFmtId="4" fontId="4" fillId="12" borderId="47" xfId="0" applyNumberFormat="1" applyFont="1" applyFill="1" applyBorder="1"/>
    <xf numFmtId="3" fontId="0" fillId="11" borderId="22" xfId="0" applyNumberFormat="1" applyFont="1" applyFill="1" applyBorder="1" applyAlignment="1" applyProtection="1">
      <alignment vertical="center"/>
    </xf>
    <xf numFmtId="164" fontId="0" fillId="11" borderId="22" xfId="0" applyNumberFormat="1" applyFont="1" applyFill="1" applyBorder="1" applyAlignment="1" applyProtection="1">
      <alignment horizontal="center" vertical="center" wrapText="1"/>
    </xf>
    <xf numFmtId="3" fontId="4" fillId="12" borderId="3" xfId="0" applyNumberFormat="1" applyFont="1" applyFill="1" applyBorder="1"/>
    <xf numFmtId="0" fontId="5" fillId="12" borderId="1" xfId="0" applyFont="1" applyFill="1" applyBorder="1" applyAlignment="1">
      <alignment horizontal="center"/>
    </xf>
    <xf numFmtId="3" fontId="0" fillId="11" borderId="1" xfId="0" applyNumberFormat="1" applyFont="1" applyFill="1" applyBorder="1" applyAlignment="1" applyProtection="1">
      <alignment vertical="center"/>
    </xf>
    <xf numFmtId="3" fontId="0" fillId="11" borderId="4" xfId="0" applyNumberFormat="1" applyFont="1" applyFill="1" applyBorder="1" applyAlignment="1" applyProtection="1">
      <alignment vertical="center"/>
    </xf>
    <xf numFmtId="3" fontId="0" fillId="11" borderId="6" xfId="0" applyNumberFormat="1" applyFont="1" applyFill="1" applyBorder="1" applyAlignment="1" applyProtection="1">
      <alignment vertical="center"/>
    </xf>
    <xf numFmtId="3" fontId="0" fillId="11" borderId="22" xfId="0" applyNumberFormat="1" applyFont="1" applyFill="1" applyBorder="1" applyAlignment="1" applyProtection="1">
      <alignment horizontal="left" vertical="center"/>
    </xf>
    <xf numFmtId="3" fontId="0" fillId="11" borderId="4" xfId="0" applyNumberFormat="1" applyFont="1" applyFill="1" applyBorder="1" applyAlignment="1" applyProtection="1">
      <alignment horizontal="right" vertical="center"/>
    </xf>
    <xf numFmtId="3" fontId="0" fillId="11" borderId="6" xfId="0" applyNumberFormat="1" applyFont="1" applyFill="1" applyBorder="1" applyAlignment="1" applyProtection="1">
      <alignment horizontal="right" vertical="center"/>
    </xf>
    <xf numFmtId="3" fontId="0" fillId="11" borderId="37" xfId="0" applyNumberFormat="1" applyFont="1" applyFill="1" applyBorder="1" applyAlignment="1" applyProtection="1">
      <alignment vertical="center"/>
    </xf>
    <xf numFmtId="3" fontId="0" fillId="11" borderId="5" xfId="0" applyNumberFormat="1" applyFont="1" applyFill="1" applyBorder="1" applyAlignment="1" applyProtection="1">
      <alignment vertical="center"/>
    </xf>
    <xf numFmtId="3" fontId="0" fillId="11" borderId="3" xfId="0" applyNumberFormat="1" applyFont="1" applyFill="1" applyBorder="1" applyAlignment="1" applyProtection="1">
      <alignment horizontal="right" vertical="center"/>
    </xf>
    <xf numFmtId="3" fontId="0" fillId="0" borderId="33" xfId="0" applyNumberFormat="1" applyFont="1" applyFill="1" applyBorder="1" applyAlignment="1" applyProtection="1">
      <alignment vertical="center"/>
    </xf>
    <xf numFmtId="3" fontId="0" fillId="11" borderId="33" xfId="0" applyNumberFormat="1" applyFont="1" applyFill="1" applyBorder="1" applyAlignment="1" applyProtection="1">
      <alignment vertical="center"/>
    </xf>
    <xf numFmtId="3" fontId="0" fillId="0" borderId="47" xfId="0" applyNumberFormat="1" applyFont="1" applyFill="1" applyBorder="1" applyAlignment="1" applyProtection="1">
      <alignment vertical="center"/>
    </xf>
    <xf numFmtId="3" fontId="0" fillId="11" borderId="3" xfId="0" applyNumberFormat="1" applyFont="1" applyFill="1" applyBorder="1" applyAlignment="1" applyProtection="1">
      <alignment vertical="center"/>
    </xf>
    <xf numFmtId="3" fontId="0" fillId="11" borderId="3" xfId="0" applyNumberFormat="1" applyFont="1" applyFill="1" applyBorder="1" applyAlignment="1">
      <alignment vertical="center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/>
    <xf numFmtId="165" fontId="4" fillId="0" borderId="45" xfId="0" applyNumberFormat="1" applyFont="1" applyFill="1" applyBorder="1"/>
    <xf numFmtId="8" fontId="7" fillId="10" borderId="1" xfId="0" applyNumberFormat="1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</cellXfs>
  <cellStyles count="7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werkingSTOC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erkingSTOCKS"/>
    </sheetNames>
    <sheetDataSet>
      <sheetData sheetId="0">
        <row r="748">
          <cell r="Q748">
            <v>94606</v>
          </cell>
          <cell r="V748">
            <v>961297</v>
          </cell>
          <cell r="AA748">
            <v>407385</v>
          </cell>
          <cell r="AF748">
            <v>104154</v>
          </cell>
          <cell r="AK748">
            <v>146685</v>
          </cell>
          <cell r="AP748">
            <v>169344</v>
          </cell>
          <cell r="AU748">
            <v>182538</v>
          </cell>
          <cell r="AZ748">
            <v>67520</v>
          </cell>
          <cell r="BE748">
            <v>800142</v>
          </cell>
          <cell r="BJ748">
            <v>644420</v>
          </cell>
          <cell r="BO748">
            <v>9997</v>
          </cell>
          <cell r="BT748">
            <v>115336</v>
          </cell>
          <cell r="BY748">
            <v>42273</v>
          </cell>
          <cell r="CD748">
            <v>35317</v>
          </cell>
          <cell r="CI748">
            <v>60467</v>
          </cell>
          <cell r="DC748">
            <v>270677</v>
          </cell>
          <cell r="DM748">
            <v>9461</v>
          </cell>
          <cell r="DR748">
            <v>13052</v>
          </cell>
          <cell r="DW748">
            <v>86023</v>
          </cell>
          <cell r="EB748">
            <v>10997</v>
          </cell>
          <cell r="EG748">
            <v>6553</v>
          </cell>
          <cell r="EL748">
            <v>29871</v>
          </cell>
          <cell r="EQ748">
            <v>30719</v>
          </cell>
          <cell r="EV748">
            <v>6607</v>
          </cell>
          <cell r="FF748">
            <v>476208</v>
          </cell>
          <cell r="FK748">
            <v>164308</v>
          </cell>
          <cell r="FP748">
            <v>216063</v>
          </cell>
          <cell r="FU748">
            <v>4945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tabSelected="1" topLeftCell="S1" zoomScale="82" zoomScaleNormal="82" workbookViewId="0">
      <pane ySplit="3" topLeftCell="A4" activePane="bottomLeft" state="frozen"/>
      <selection pane="bottomLeft" activeCell="H64" sqref="H64"/>
    </sheetView>
  </sheetViews>
  <sheetFormatPr defaultColWidth="9.140625" defaultRowHeight="15" x14ac:dyDescent="0.25"/>
  <cols>
    <col min="1" max="1" width="8.140625" bestFit="1" customWidth="1"/>
    <col min="2" max="2" width="48.140625" customWidth="1"/>
    <col min="3" max="3" width="22" style="101" customWidth="1"/>
    <col min="4" max="5" width="19.7109375" style="101" customWidth="1"/>
    <col min="6" max="6" width="18.5703125" customWidth="1"/>
    <col min="7" max="7" width="19.42578125" style="101" customWidth="1"/>
    <col min="8" max="8" width="15.42578125" style="2" customWidth="1"/>
    <col min="9" max="9" width="14" style="2" customWidth="1"/>
    <col min="10" max="10" width="10.28515625" style="2" customWidth="1"/>
    <col min="11" max="11" width="14" style="2" customWidth="1"/>
    <col min="12" max="12" width="8.140625" style="2" customWidth="1"/>
    <col min="13" max="13" width="45.5703125" style="2" customWidth="1"/>
    <col min="14" max="14" width="16.28515625" customWidth="1"/>
    <col min="15" max="17" width="16.28515625" style="101" customWidth="1"/>
    <col min="18" max="18" width="17.140625" style="101" customWidth="1"/>
    <col min="19" max="19" width="12.140625" customWidth="1"/>
    <col min="20" max="20" width="14.5703125" customWidth="1"/>
    <col min="21" max="21" width="10.28515625" customWidth="1"/>
    <col min="22" max="22" width="12.7109375" customWidth="1"/>
    <col min="23" max="23" width="8.140625" style="101" customWidth="1"/>
    <col min="24" max="24" width="45.5703125" style="101" customWidth="1"/>
    <col min="25" max="25" width="18.85546875" style="101" customWidth="1"/>
    <col min="26" max="26" width="16.28515625" style="101" customWidth="1"/>
    <col min="27" max="27" width="17.140625" style="101" customWidth="1"/>
    <col min="28" max="28" width="12.140625" style="101" customWidth="1"/>
    <col min="29" max="29" width="19.28515625" style="101" customWidth="1"/>
    <col min="30" max="30" width="10.28515625" style="101" customWidth="1"/>
    <col min="31" max="31" width="12.7109375" style="101" customWidth="1"/>
    <col min="32" max="32" width="14.42578125" style="4" customWidth="1"/>
    <col min="33" max="33" width="12.140625" customWidth="1"/>
    <col min="34" max="34" width="14.5703125" customWidth="1"/>
    <col min="35" max="35" width="10.28515625" customWidth="1"/>
    <col min="36" max="36" width="15.42578125" customWidth="1"/>
  </cols>
  <sheetData>
    <row r="1" spans="1:36" s="2" customFormat="1" ht="48" customHeight="1" thickBot="1" x14ac:dyDescent="0.4">
      <c r="A1" s="275" t="s">
        <v>96</v>
      </c>
      <c r="B1" s="275"/>
      <c r="C1" s="275"/>
      <c r="D1" s="275"/>
      <c r="E1" s="275"/>
      <c r="F1" s="275"/>
      <c r="G1" s="275"/>
      <c r="H1" s="275"/>
      <c r="I1" s="275"/>
      <c r="J1" s="275"/>
      <c r="K1" s="276"/>
      <c r="L1" s="277" t="s">
        <v>97</v>
      </c>
      <c r="M1" s="278"/>
      <c r="N1" s="278"/>
      <c r="O1" s="278"/>
      <c r="P1" s="278"/>
      <c r="Q1" s="278"/>
      <c r="R1" s="278"/>
      <c r="S1" s="278"/>
      <c r="T1" s="278"/>
      <c r="U1" s="278"/>
      <c r="V1" s="279"/>
      <c r="W1" s="280" t="s">
        <v>98</v>
      </c>
      <c r="X1" s="281"/>
      <c r="Y1" s="281"/>
      <c r="Z1" s="281"/>
      <c r="AA1" s="281"/>
      <c r="AB1" s="281"/>
      <c r="AC1" s="281"/>
      <c r="AD1" s="281"/>
      <c r="AE1" s="282"/>
      <c r="AF1" s="272" t="s">
        <v>95</v>
      </c>
      <c r="AG1" s="273"/>
      <c r="AH1" s="273"/>
      <c r="AI1" s="273"/>
      <c r="AJ1" s="274"/>
    </row>
    <row r="2" spans="1:36" s="1" customFormat="1" ht="68.25" customHeight="1" thickBot="1" x14ac:dyDescent="0.3">
      <c r="A2" s="16" t="s">
        <v>9</v>
      </c>
      <c r="B2" s="17" t="s">
        <v>10</v>
      </c>
      <c r="C2" s="271" t="s">
        <v>130</v>
      </c>
      <c r="D2" s="271" t="s">
        <v>108</v>
      </c>
      <c r="E2" s="271" t="s">
        <v>109</v>
      </c>
      <c r="F2" s="103" t="s">
        <v>71</v>
      </c>
      <c r="G2" s="103" t="s">
        <v>85</v>
      </c>
      <c r="H2" s="18" t="s">
        <v>11</v>
      </c>
      <c r="I2" s="18" t="s">
        <v>12</v>
      </c>
      <c r="J2" s="18" t="s">
        <v>13</v>
      </c>
      <c r="K2" s="12" t="s">
        <v>14</v>
      </c>
      <c r="L2" s="11" t="s">
        <v>9</v>
      </c>
      <c r="M2" s="18" t="s">
        <v>10</v>
      </c>
      <c r="N2" s="18" t="s">
        <v>34</v>
      </c>
      <c r="O2" s="103" t="s">
        <v>131</v>
      </c>
      <c r="P2" s="103" t="s">
        <v>132</v>
      </c>
      <c r="Q2" s="103" t="s">
        <v>93</v>
      </c>
      <c r="R2" s="103" t="s">
        <v>91</v>
      </c>
      <c r="S2" s="18" t="s">
        <v>11</v>
      </c>
      <c r="T2" s="18" t="s">
        <v>104</v>
      </c>
      <c r="U2" s="17" t="s">
        <v>13</v>
      </c>
      <c r="V2" s="19" t="s">
        <v>14</v>
      </c>
      <c r="W2" s="11" t="s">
        <v>9</v>
      </c>
      <c r="X2" s="103" t="s">
        <v>10</v>
      </c>
      <c r="Y2" s="103" t="s">
        <v>2</v>
      </c>
      <c r="Z2" s="103" t="s">
        <v>34</v>
      </c>
      <c r="AA2" s="103" t="s">
        <v>87</v>
      </c>
      <c r="AB2" s="103" t="s">
        <v>11</v>
      </c>
      <c r="AC2" s="103" t="s">
        <v>104</v>
      </c>
      <c r="AD2" s="17" t="s">
        <v>13</v>
      </c>
      <c r="AE2" s="19" t="s">
        <v>14</v>
      </c>
      <c r="AF2" s="30" t="s">
        <v>15</v>
      </c>
      <c r="AG2" s="18" t="s">
        <v>11</v>
      </c>
      <c r="AH2" s="18" t="s">
        <v>12</v>
      </c>
      <c r="AI2" s="17" t="s">
        <v>13</v>
      </c>
      <c r="AJ2" s="19" t="s">
        <v>14</v>
      </c>
    </row>
    <row r="3" spans="1:36" s="1" customFormat="1" ht="65.25" customHeight="1" thickBot="1" x14ac:dyDescent="0.3">
      <c r="A3" s="137" t="s">
        <v>0</v>
      </c>
      <c r="B3" s="138" t="s">
        <v>1</v>
      </c>
      <c r="C3" s="132" t="s">
        <v>88</v>
      </c>
      <c r="D3" s="132" t="s">
        <v>89</v>
      </c>
      <c r="E3" s="132" t="s">
        <v>90</v>
      </c>
      <c r="F3" s="132" t="s">
        <v>84</v>
      </c>
      <c r="G3" s="132" t="s">
        <v>86</v>
      </c>
      <c r="H3" s="132" t="s">
        <v>3</v>
      </c>
      <c r="I3" s="132" t="s">
        <v>4</v>
      </c>
      <c r="J3" s="138" t="s">
        <v>5</v>
      </c>
      <c r="K3" s="139" t="s">
        <v>6</v>
      </c>
      <c r="L3" s="16" t="s">
        <v>0</v>
      </c>
      <c r="M3" s="17" t="s">
        <v>1</v>
      </c>
      <c r="N3" s="27" t="s">
        <v>7</v>
      </c>
      <c r="O3" s="27" t="s">
        <v>107</v>
      </c>
      <c r="P3" s="27" t="s">
        <v>90</v>
      </c>
      <c r="Q3" s="27" t="s">
        <v>94</v>
      </c>
      <c r="R3" s="27" t="s">
        <v>92</v>
      </c>
      <c r="S3" s="18" t="s">
        <v>3</v>
      </c>
      <c r="T3" s="18" t="s">
        <v>105</v>
      </c>
      <c r="U3" s="17" t="s">
        <v>5</v>
      </c>
      <c r="V3" s="19" t="s">
        <v>6</v>
      </c>
      <c r="W3" s="16" t="s">
        <v>0</v>
      </c>
      <c r="X3" s="17" t="s">
        <v>1</v>
      </c>
      <c r="Y3" s="103" t="s">
        <v>2</v>
      </c>
      <c r="Z3" s="27" t="s">
        <v>7</v>
      </c>
      <c r="AA3" s="27" t="s">
        <v>110</v>
      </c>
      <c r="AB3" s="103" t="s">
        <v>3</v>
      </c>
      <c r="AC3" s="103" t="s">
        <v>105</v>
      </c>
      <c r="AD3" s="17" t="s">
        <v>5</v>
      </c>
      <c r="AE3" s="19" t="s">
        <v>6</v>
      </c>
      <c r="AF3" s="36" t="s">
        <v>8</v>
      </c>
      <c r="AG3" s="37" t="s">
        <v>3</v>
      </c>
      <c r="AH3" s="37" t="s">
        <v>4</v>
      </c>
      <c r="AI3" s="38" t="s">
        <v>5</v>
      </c>
      <c r="AJ3" s="39" t="s">
        <v>6</v>
      </c>
    </row>
    <row r="4" spans="1:36" s="20" customFormat="1" ht="30" x14ac:dyDescent="0.25">
      <c r="A4" s="28">
        <v>1</v>
      </c>
      <c r="B4" s="29" t="s">
        <v>16</v>
      </c>
      <c r="C4" s="133">
        <v>4122745.1</v>
      </c>
      <c r="D4" s="134">
        <v>2091214.5758524849</v>
      </c>
      <c r="E4" s="134">
        <v>1945155</v>
      </c>
      <c r="F4" s="134">
        <f>C4-D4-E4</f>
        <v>86375.524147515185</v>
      </c>
      <c r="G4" s="115" t="s">
        <v>70</v>
      </c>
      <c r="H4" s="96" t="s">
        <v>46</v>
      </c>
      <c r="I4" s="89">
        <f>F4</f>
        <v>86375.524147515185</v>
      </c>
      <c r="J4" s="73" t="s">
        <v>57</v>
      </c>
      <c r="K4" s="97">
        <f>I4/1000*1.03</f>
        <v>88.966789871940634</v>
      </c>
      <c r="L4" s="46"/>
      <c r="M4" s="47"/>
      <c r="N4" s="48"/>
      <c r="O4" s="48"/>
      <c r="P4" s="48"/>
      <c r="Q4" s="48"/>
      <c r="R4" s="48"/>
      <c r="S4" s="49"/>
      <c r="T4" s="48"/>
      <c r="U4" s="50"/>
      <c r="V4" s="118"/>
      <c r="W4" s="122"/>
      <c r="X4" s="123"/>
      <c r="Y4" s="123"/>
      <c r="Z4" s="123"/>
      <c r="AA4" s="123"/>
      <c r="AB4" s="123"/>
      <c r="AC4" s="123"/>
      <c r="AD4" s="123"/>
      <c r="AE4" s="61"/>
      <c r="AF4" s="130">
        <f>F4</f>
        <v>86375.524147515185</v>
      </c>
      <c r="AG4" s="77" t="s">
        <v>46</v>
      </c>
      <c r="AH4" s="110">
        <f>AF4</f>
        <v>86375.524147515185</v>
      </c>
      <c r="AI4" s="34" t="s">
        <v>57</v>
      </c>
      <c r="AJ4" s="35">
        <f>AH4/1000*1.03</f>
        <v>88.966789871940634</v>
      </c>
    </row>
    <row r="5" spans="1:36" s="20" customFormat="1" ht="30" x14ac:dyDescent="0.25">
      <c r="A5" s="104">
        <v>2</v>
      </c>
      <c r="B5" s="105" t="s">
        <v>17</v>
      </c>
      <c r="C5" s="126">
        <v>1220420.07</v>
      </c>
      <c r="D5" s="128">
        <v>696470.26603348274</v>
      </c>
      <c r="E5" s="128">
        <v>429563</v>
      </c>
      <c r="F5" s="128">
        <f>C5-D5-E5</f>
        <v>94386.803966517327</v>
      </c>
      <c r="G5" s="116" t="s">
        <v>70</v>
      </c>
      <c r="H5" s="106" t="s">
        <v>47</v>
      </c>
      <c r="I5" s="90">
        <f>F5*168</f>
        <v>15856983.066374911</v>
      </c>
      <c r="J5" s="72" t="s">
        <v>58</v>
      </c>
      <c r="K5" s="67">
        <f>I5/1000000</f>
        <v>15.856983066374911</v>
      </c>
      <c r="L5" s="51"/>
      <c r="M5" s="52"/>
      <c r="N5" s="53"/>
      <c r="O5" s="53"/>
      <c r="P5" s="53"/>
      <c r="Q5" s="53"/>
      <c r="R5" s="53"/>
      <c r="S5" s="54"/>
      <c r="T5" s="55"/>
      <c r="U5" s="56"/>
      <c r="V5" s="119"/>
      <c r="W5" s="124"/>
      <c r="X5" s="121"/>
      <c r="Y5" s="121"/>
      <c r="Z5" s="121"/>
      <c r="AA5" s="121"/>
      <c r="AB5" s="121"/>
      <c r="AC5" s="121"/>
      <c r="AD5" s="121"/>
      <c r="AE5" s="62"/>
      <c r="AF5" s="131">
        <f>F5</f>
        <v>94386.803966517327</v>
      </c>
      <c r="AG5" s="78" t="s">
        <v>47</v>
      </c>
      <c r="AH5" s="111">
        <f>AF5*168</f>
        <v>15856983.066374911</v>
      </c>
      <c r="AI5" s="31" t="s">
        <v>58</v>
      </c>
      <c r="AJ5" s="32">
        <f>AH5/1000000</f>
        <v>15.856983066374911</v>
      </c>
    </row>
    <row r="6" spans="1:36" s="20" customFormat="1" ht="30" x14ac:dyDescent="0.25">
      <c r="A6" s="104">
        <v>3</v>
      </c>
      <c r="B6" s="105" t="s">
        <v>18</v>
      </c>
      <c r="C6" s="126">
        <v>1115196</v>
      </c>
      <c r="D6" s="128">
        <v>191755.7597140763</v>
      </c>
      <c r="E6" s="128">
        <v>767211</v>
      </c>
      <c r="F6" s="128">
        <f>C6-D6-E6</f>
        <v>156229.2402859237</v>
      </c>
      <c r="G6" s="116" t="s">
        <v>70</v>
      </c>
      <c r="H6" s="106" t="s">
        <v>48</v>
      </c>
      <c r="I6" s="90">
        <f>F6*125</f>
        <v>19528655.035740465</v>
      </c>
      <c r="J6" s="72" t="s">
        <v>58</v>
      </c>
      <c r="K6" s="67">
        <f t="shared" ref="K6:K17" si="0">I6/1000000</f>
        <v>19.528655035740464</v>
      </c>
      <c r="L6" s="51"/>
      <c r="M6" s="52"/>
      <c r="N6" s="53"/>
      <c r="O6" s="53"/>
      <c r="P6" s="53"/>
      <c r="Q6" s="53"/>
      <c r="R6" s="53"/>
      <c r="S6" s="54"/>
      <c r="T6" s="55"/>
      <c r="U6" s="56"/>
      <c r="V6" s="119"/>
      <c r="W6" s="124"/>
      <c r="X6" s="121"/>
      <c r="Y6" s="121"/>
      <c r="Z6" s="121"/>
      <c r="AA6" s="121"/>
      <c r="AB6" s="121"/>
      <c r="AC6" s="121"/>
      <c r="AD6" s="121"/>
      <c r="AE6" s="62"/>
      <c r="AF6" s="131">
        <f t="shared" ref="AF6:AF17" si="1">F6</f>
        <v>156229.2402859237</v>
      </c>
      <c r="AG6" s="78" t="s">
        <v>48</v>
      </c>
      <c r="AH6" s="111">
        <f>AF6*125</f>
        <v>19528655.035740465</v>
      </c>
      <c r="AI6" s="31" t="s">
        <v>58</v>
      </c>
      <c r="AJ6" s="32">
        <f t="shared" ref="AJ6:AJ17" si="2">AH6/1000000</f>
        <v>19.528655035740464</v>
      </c>
    </row>
    <row r="7" spans="1:36" s="20" customFormat="1" ht="30" x14ac:dyDescent="0.25">
      <c r="A7" s="104">
        <v>4</v>
      </c>
      <c r="B7" s="105" t="s">
        <v>72</v>
      </c>
      <c r="C7" s="126">
        <v>1409066</v>
      </c>
      <c r="D7" s="128">
        <v>1050732.884328275</v>
      </c>
      <c r="E7" s="128">
        <v>188711</v>
      </c>
      <c r="F7" s="128">
        <f t="shared" ref="F7:F17" si="3">C7-D7-E7</f>
        <v>169622.11567172501</v>
      </c>
      <c r="G7" s="116" t="s">
        <v>70</v>
      </c>
      <c r="H7" s="106" t="s">
        <v>49</v>
      </c>
      <c r="I7" s="90">
        <f>F7*420</f>
        <v>71241288.582124501</v>
      </c>
      <c r="J7" s="72" t="s">
        <v>58</v>
      </c>
      <c r="K7" s="67">
        <f t="shared" si="0"/>
        <v>71.241288582124497</v>
      </c>
      <c r="L7" s="51"/>
      <c r="M7" s="52"/>
      <c r="N7" s="53"/>
      <c r="O7" s="53"/>
      <c r="P7" s="53"/>
      <c r="Q7" s="53"/>
      <c r="R7" s="53"/>
      <c r="S7" s="54"/>
      <c r="T7" s="55"/>
      <c r="U7" s="56"/>
      <c r="V7" s="119"/>
      <c r="W7" s="124"/>
      <c r="X7" s="121"/>
      <c r="Y7" s="121"/>
      <c r="Z7" s="121"/>
      <c r="AA7" s="121"/>
      <c r="AB7" s="121"/>
      <c r="AC7" s="121"/>
      <c r="AD7" s="121"/>
      <c r="AE7" s="62"/>
      <c r="AF7" s="131">
        <f t="shared" si="1"/>
        <v>169622.11567172501</v>
      </c>
      <c r="AG7" s="78" t="s">
        <v>49</v>
      </c>
      <c r="AH7" s="111">
        <f>AF7*420</f>
        <v>71241288.582124501</v>
      </c>
      <c r="AI7" s="31" t="s">
        <v>58</v>
      </c>
      <c r="AJ7" s="32">
        <f t="shared" si="2"/>
        <v>71.241288582124497</v>
      </c>
    </row>
    <row r="8" spans="1:36" s="20" customFormat="1" ht="30" x14ac:dyDescent="0.25">
      <c r="A8" s="104">
        <v>5</v>
      </c>
      <c r="B8" s="105" t="s">
        <v>35</v>
      </c>
      <c r="C8" s="126">
        <v>1201000</v>
      </c>
      <c r="D8" s="129">
        <v>513795.93187739723</v>
      </c>
      <c r="E8" s="129">
        <v>557037</v>
      </c>
      <c r="F8" s="128">
        <f t="shared" si="3"/>
        <v>130167.06812260277</v>
      </c>
      <c r="G8" s="116" t="s">
        <v>70</v>
      </c>
      <c r="H8" s="106" t="s">
        <v>50</v>
      </c>
      <c r="I8" s="90">
        <f>F8*1000</f>
        <v>130167068.12260276</v>
      </c>
      <c r="J8" s="72" t="s">
        <v>58</v>
      </c>
      <c r="K8" s="67">
        <f t="shared" si="0"/>
        <v>130.16706812260276</v>
      </c>
      <c r="L8" s="51"/>
      <c r="M8" s="52"/>
      <c r="N8" s="53"/>
      <c r="O8" s="53"/>
      <c r="P8" s="53"/>
      <c r="Q8" s="53"/>
      <c r="R8" s="53"/>
      <c r="S8" s="54"/>
      <c r="T8" s="55"/>
      <c r="U8" s="56"/>
      <c r="V8" s="119"/>
      <c r="W8" s="124"/>
      <c r="X8" s="121"/>
      <c r="Y8" s="121"/>
      <c r="Z8" s="121"/>
      <c r="AA8" s="121"/>
      <c r="AB8" s="121"/>
      <c r="AC8" s="121"/>
      <c r="AD8" s="121"/>
      <c r="AE8" s="62"/>
      <c r="AF8" s="131">
        <f t="shared" si="1"/>
        <v>130167.06812260277</v>
      </c>
      <c r="AG8" s="78" t="s">
        <v>50</v>
      </c>
      <c r="AH8" s="111">
        <f>AF8*1000</f>
        <v>130167068.12260276</v>
      </c>
      <c r="AI8" s="31" t="s">
        <v>58</v>
      </c>
      <c r="AJ8" s="32">
        <f t="shared" si="2"/>
        <v>130.16706812260276</v>
      </c>
    </row>
    <row r="9" spans="1:36" s="20" customFormat="1" ht="30" x14ac:dyDescent="0.25">
      <c r="A9" s="104">
        <v>6</v>
      </c>
      <c r="B9" s="105" t="s">
        <v>19</v>
      </c>
      <c r="C9" s="126">
        <v>1244816</v>
      </c>
      <c r="D9" s="128">
        <v>523737.84546380816</v>
      </c>
      <c r="E9" s="128">
        <v>590177</v>
      </c>
      <c r="F9" s="128">
        <f t="shared" si="3"/>
        <v>130901.15453619184</v>
      </c>
      <c r="G9" s="116" t="s">
        <v>70</v>
      </c>
      <c r="H9" s="106" t="s">
        <v>51</v>
      </c>
      <c r="I9" s="90">
        <f>F9*500</f>
        <v>65450577.268095918</v>
      </c>
      <c r="J9" s="72" t="s">
        <v>58</v>
      </c>
      <c r="K9" s="67">
        <f t="shared" si="0"/>
        <v>65.450577268095913</v>
      </c>
      <c r="L9" s="51"/>
      <c r="M9" s="52"/>
      <c r="N9" s="53"/>
      <c r="O9" s="53"/>
      <c r="P9" s="53"/>
      <c r="Q9" s="53"/>
      <c r="R9" s="53"/>
      <c r="S9" s="54"/>
      <c r="T9" s="55"/>
      <c r="U9" s="56"/>
      <c r="V9" s="119"/>
      <c r="W9" s="124"/>
      <c r="X9" s="121"/>
      <c r="Y9" s="121"/>
      <c r="Z9" s="121"/>
      <c r="AA9" s="121"/>
      <c r="AB9" s="121"/>
      <c r="AC9" s="121"/>
      <c r="AD9" s="121"/>
      <c r="AE9" s="62"/>
      <c r="AF9" s="131">
        <f t="shared" si="1"/>
        <v>130901.15453619184</v>
      </c>
      <c r="AG9" s="78" t="s">
        <v>51</v>
      </c>
      <c r="AH9" s="111">
        <f>AF9*500</f>
        <v>65450577.268095918</v>
      </c>
      <c r="AI9" s="31" t="s">
        <v>58</v>
      </c>
      <c r="AJ9" s="32">
        <f t="shared" si="2"/>
        <v>65.450577268095913</v>
      </c>
    </row>
    <row r="10" spans="1:36" s="20" customFormat="1" ht="30" x14ac:dyDescent="0.25">
      <c r="A10" s="104">
        <v>7</v>
      </c>
      <c r="B10" s="105" t="s">
        <v>20</v>
      </c>
      <c r="C10" s="126">
        <v>1428177</v>
      </c>
      <c r="D10" s="129">
        <v>633278.18740773713</v>
      </c>
      <c r="E10" s="129">
        <v>699995</v>
      </c>
      <c r="F10" s="128">
        <f t="shared" si="3"/>
        <v>94903.812592262868</v>
      </c>
      <c r="G10" s="116" t="s">
        <v>70</v>
      </c>
      <c r="H10" s="106" t="s">
        <v>52</v>
      </c>
      <c r="I10" s="90">
        <f>F10*400</f>
        <v>37961525.036905147</v>
      </c>
      <c r="J10" s="72" t="s">
        <v>58</v>
      </c>
      <c r="K10" s="67">
        <f t="shared" si="0"/>
        <v>37.961525036905144</v>
      </c>
      <c r="L10" s="51"/>
      <c r="M10" s="52"/>
      <c r="N10" s="53"/>
      <c r="O10" s="53"/>
      <c r="P10" s="53"/>
      <c r="Q10" s="53"/>
      <c r="R10" s="53"/>
      <c r="S10" s="54"/>
      <c r="T10" s="55"/>
      <c r="U10" s="56"/>
      <c r="V10" s="119"/>
      <c r="W10" s="124"/>
      <c r="X10" s="121"/>
      <c r="Y10" s="121"/>
      <c r="Z10" s="121"/>
      <c r="AA10" s="121"/>
      <c r="AB10" s="121"/>
      <c r="AC10" s="121"/>
      <c r="AD10" s="121"/>
      <c r="AE10" s="62"/>
      <c r="AF10" s="131">
        <f t="shared" si="1"/>
        <v>94903.812592262868</v>
      </c>
      <c r="AG10" s="78" t="s">
        <v>52</v>
      </c>
      <c r="AH10" s="111">
        <f>AF10*400</f>
        <v>37961525.036905147</v>
      </c>
      <c r="AI10" s="31" t="s">
        <v>58</v>
      </c>
      <c r="AJ10" s="32">
        <f t="shared" si="2"/>
        <v>37.961525036905144</v>
      </c>
    </row>
    <row r="11" spans="1:36" s="20" customFormat="1" ht="30" x14ac:dyDescent="0.25">
      <c r="A11" s="104">
        <v>8</v>
      </c>
      <c r="B11" s="105" t="s">
        <v>21</v>
      </c>
      <c r="C11" s="126">
        <v>1322042</v>
      </c>
      <c r="D11" s="128">
        <v>476538</v>
      </c>
      <c r="E11" s="128">
        <v>715559</v>
      </c>
      <c r="F11" s="128">
        <f t="shared" si="3"/>
        <v>129945</v>
      </c>
      <c r="G11" s="116" t="s">
        <v>70</v>
      </c>
      <c r="H11" s="106" t="s">
        <v>53</v>
      </c>
      <c r="I11" s="90">
        <f>F11*265</f>
        <v>34435425</v>
      </c>
      <c r="J11" s="72" t="s">
        <v>58</v>
      </c>
      <c r="K11" s="67">
        <f t="shared" si="0"/>
        <v>34.435425000000002</v>
      </c>
      <c r="L11" s="51"/>
      <c r="M11" s="52"/>
      <c r="N11" s="53"/>
      <c r="O11" s="53"/>
      <c r="P11" s="53"/>
      <c r="Q11" s="53"/>
      <c r="R11" s="53"/>
      <c r="S11" s="54"/>
      <c r="T11" s="55"/>
      <c r="U11" s="56"/>
      <c r="V11" s="119"/>
      <c r="W11" s="124"/>
      <c r="X11" s="121"/>
      <c r="Y11" s="121"/>
      <c r="Z11" s="121"/>
      <c r="AA11" s="121"/>
      <c r="AB11" s="121"/>
      <c r="AC11" s="121"/>
      <c r="AD11" s="121"/>
      <c r="AE11" s="62"/>
      <c r="AF11" s="131">
        <f t="shared" si="1"/>
        <v>129945</v>
      </c>
      <c r="AG11" s="78" t="s">
        <v>53</v>
      </c>
      <c r="AH11" s="111">
        <f>AF11*265</f>
        <v>34435425</v>
      </c>
      <c r="AI11" s="31" t="s">
        <v>58</v>
      </c>
      <c r="AJ11" s="32">
        <f t="shared" si="2"/>
        <v>34.435425000000002</v>
      </c>
    </row>
    <row r="12" spans="1:36" s="20" customFormat="1" ht="30" customHeight="1" x14ac:dyDescent="0.25">
      <c r="A12" s="104">
        <v>9</v>
      </c>
      <c r="B12" s="105" t="s">
        <v>37</v>
      </c>
      <c r="C12" s="126">
        <v>1541160</v>
      </c>
      <c r="D12" s="128">
        <v>594099.83797134156</v>
      </c>
      <c r="E12" s="128">
        <v>817931</v>
      </c>
      <c r="F12" s="128">
        <f t="shared" si="3"/>
        <v>129129.16202865844</v>
      </c>
      <c r="G12" s="116" t="s">
        <v>70</v>
      </c>
      <c r="H12" s="106" t="s">
        <v>54</v>
      </c>
      <c r="I12" s="90">
        <f>F12*230</f>
        <v>29699707.266591441</v>
      </c>
      <c r="J12" s="72" t="s">
        <v>58</v>
      </c>
      <c r="K12" s="67">
        <f t="shared" si="0"/>
        <v>29.699707266591442</v>
      </c>
      <c r="L12" s="51"/>
      <c r="M12" s="52"/>
      <c r="N12" s="53"/>
      <c r="O12" s="53"/>
      <c r="P12" s="53"/>
      <c r="Q12" s="53"/>
      <c r="R12" s="53"/>
      <c r="S12" s="54"/>
      <c r="T12" s="55"/>
      <c r="U12" s="56"/>
      <c r="V12" s="119"/>
      <c r="W12" s="124"/>
      <c r="X12" s="121"/>
      <c r="Y12" s="121"/>
      <c r="Z12" s="121"/>
      <c r="AA12" s="121"/>
      <c r="AB12" s="121"/>
      <c r="AC12" s="121"/>
      <c r="AD12" s="121"/>
      <c r="AE12" s="62"/>
      <c r="AF12" s="131">
        <f t="shared" si="1"/>
        <v>129129.16202865844</v>
      </c>
      <c r="AG12" s="78" t="s">
        <v>54</v>
      </c>
      <c r="AH12" s="111">
        <f>AF12*230</f>
        <v>29699707.266591441</v>
      </c>
      <c r="AI12" s="31" t="s">
        <v>58</v>
      </c>
      <c r="AJ12" s="32">
        <f t="shared" si="2"/>
        <v>29.699707266591442</v>
      </c>
    </row>
    <row r="13" spans="1:36" s="20" customFormat="1" ht="30" x14ac:dyDescent="0.25">
      <c r="A13" s="104">
        <v>10</v>
      </c>
      <c r="B13" s="105" t="s">
        <v>22</v>
      </c>
      <c r="C13" s="126">
        <v>1688187.7</v>
      </c>
      <c r="D13" s="128">
        <v>612342.17996174726</v>
      </c>
      <c r="E13" s="128">
        <v>905331</v>
      </c>
      <c r="F13" s="128">
        <f t="shared" si="3"/>
        <v>170514.5200382527</v>
      </c>
      <c r="G13" s="116" t="s">
        <v>70</v>
      </c>
      <c r="H13" s="106" t="s">
        <v>55</v>
      </c>
      <c r="I13" s="90">
        <f>F13*410</f>
        <v>69910953.215683609</v>
      </c>
      <c r="J13" s="72" t="s">
        <v>58</v>
      </c>
      <c r="K13" s="67">
        <f t="shared" si="0"/>
        <v>69.910953215683605</v>
      </c>
      <c r="L13" s="51"/>
      <c r="M13" s="52"/>
      <c r="N13" s="53"/>
      <c r="O13" s="53"/>
      <c r="P13" s="53"/>
      <c r="Q13" s="53"/>
      <c r="R13" s="53"/>
      <c r="S13" s="54"/>
      <c r="T13" s="55"/>
      <c r="U13" s="56"/>
      <c r="V13" s="119"/>
      <c r="W13" s="124"/>
      <c r="X13" s="121"/>
      <c r="Y13" s="121"/>
      <c r="Z13" s="121"/>
      <c r="AA13" s="121"/>
      <c r="AB13" s="121"/>
      <c r="AC13" s="121"/>
      <c r="AD13" s="121"/>
      <c r="AE13" s="62"/>
      <c r="AF13" s="131">
        <f t="shared" si="1"/>
        <v>170514.5200382527</v>
      </c>
      <c r="AG13" s="78" t="s">
        <v>55</v>
      </c>
      <c r="AH13" s="111">
        <f>AF13*410</f>
        <v>69910953.215683609</v>
      </c>
      <c r="AI13" s="31" t="s">
        <v>58</v>
      </c>
      <c r="AJ13" s="32">
        <f t="shared" si="2"/>
        <v>69.910953215683605</v>
      </c>
    </row>
    <row r="14" spans="1:36" s="20" customFormat="1" ht="30" x14ac:dyDescent="0.25">
      <c r="A14" s="104">
        <v>11</v>
      </c>
      <c r="B14" s="105" t="s">
        <v>23</v>
      </c>
      <c r="C14" s="140">
        <v>254118</v>
      </c>
      <c r="D14" s="141">
        <v>140224.12901408452</v>
      </c>
      <c r="E14" s="141">
        <f>C14-D14</f>
        <v>113893.87098591548</v>
      </c>
      <c r="F14" s="141">
        <f t="shared" si="3"/>
        <v>0</v>
      </c>
      <c r="G14" s="142" t="s">
        <v>70</v>
      </c>
      <c r="H14" s="143" t="s">
        <v>46</v>
      </c>
      <c r="I14" s="144">
        <f>F14</f>
        <v>0</v>
      </c>
      <c r="J14" s="145" t="s">
        <v>57</v>
      </c>
      <c r="K14" s="146">
        <f>I14/1000*0.92</f>
        <v>0</v>
      </c>
      <c r="L14" s="51"/>
      <c r="M14" s="52"/>
      <c r="N14" s="53"/>
      <c r="O14" s="53"/>
      <c r="P14" s="53"/>
      <c r="Q14" s="53"/>
      <c r="R14" s="53"/>
      <c r="S14" s="54"/>
      <c r="T14" s="55"/>
      <c r="U14" s="56"/>
      <c r="V14" s="119"/>
      <c r="W14" s="124"/>
      <c r="X14" s="121"/>
      <c r="Y14" s="121"/>
      <c r="Z14" s="121"/>
      <c r="AA14" s="121"/>
      <c r="AB14" s="121"/>
      <c r="AC14" s="121"/>
      <c r="AD14" s="121"/>
      <c r="AE14" s="62"/>
      <c r="AF14" s="131">
        <f t="shared" si="1"/>
        <v>0</v>
      </c>
      <c r="AG14" s="78" t="s">
        <v>46</v>
      </c>
      <c r="AH14" s="111">
        <f>AF14</f>
        <v>0</v>
      </c>
      <c r="AI14" s="31" t="s">
        <v>57</v>
      </c>
      <c r="AJ14" s="32">
        <f>AH14/1000*0.92</f>
        <v>0</v>
      </c>
    </row>
    <row r="15" spans="1:36" s="20" customFormat="1" ht="30" x14ac:dyDescent="0.25">
      <c r="A15" s="104">
        <v>12</v>
      </c>
      <c r="B15" s="105" t="s">
        <v>24</v>
      </c>
      <c r="C15" s="126">
        <v>654000</v>
      </c>
      <c r="D15" s="128">
        <v>280504.24573639885</v>
      </c>
      <c r="E15" s="128">
        <v>329172</v>
      </c>
      <c r="F15" s="128">
        <f t="shared" si="3"/>
        <v>44323.754263601149</v>
      </c>
      <c r="G15" s="116" t="s">
        <v>70</v>
      </c>
      <c r="H15" s="106" t="s">
        <v>56</v>
      </c>
      <c r="I15" s="90">
        <f>F15*450</f>
        <v>19945689.418620516</v>
      </c>
      <c r="J15" s="72" t="s">
        <v>58</v>
      </c>
      <c r="K15" s="67">
        <f t="shared" si="0"/>
        <v>19.945689418620514</v>
      </c>
      <c r="L15" s="51"/>
      <c r="M15" s="52"/>
      <c r="N15" s="53"/>
      <c r="O15" s="53"/>
      <c r="P15" s="53"/>
      <c r="Q15" s="53"/>
      <c r="R15" s="53"/>
      <c r="S15" s="54"/>
      <c r="T15" s="55"/>
      <c r="U15" s="56"/>
      <c r="V15" s="119"/>
      <c r="W15" s="124"/>
      <c r="X15" s="121"/>
      <c r="Y15" s="121"/>
      <c r="Z15" s="121"/>
      <c r="AA15" s="121"/>
      <c r="AB15" s="121"/>
      <c r="AC15" s="121"/>
      <c r="AD15" s="121"/>
      <c r="AE15" s="62"/>
      <c r="AF15" s="131">
        <f t="shared" si="1"/>
        <v>44323.754263601149</v>
      </c>
      <c r="AG15" s="78" t="s">
        <v>56</v>
      </c>
      <c r="AH15" s="111">
        <f>AF15*450</f>
        <v>19945689.418620516</v>
      </c>
      <c r="AI15" s="31" t="s">
        <v>58</v>
      </c>
      <c r="AJ15" s="32">
        <f t="shared" si="2"/>
        <v>19.945689418620514</v>
      </c>
    </row>
    <row r="16" spans="1:36" s="20" customFormat="1" ht="45.75" customHeight="1" x14ac:dyDescent="0.25">
      <c r="A16" s="104">
        <v>13</v>
      </c>
      <c r="B16" s="105" t="s">
        <v>25</v>
      </c>
      <c r="C16" s="126">
        <v>1050256</v>
      </c>
      <c r="D16" s="105">
        <v>0</v>
      </c>
      <c r="E16" s="33">
        <v>464066</v>
      </c>
      <c r="F16" s="128">
        <f t="shared" si="3"/>
        <v>586190</v>
      </c>
      <c r="G16" s="116" t="s">
        <v>70</v>
      </c>
      <c r="H16" s="82" t="s">
        <v>60</v>
      </c>
      <c r="I16" s="90">
        <f>F16*450</f>
        <v>263785500</v>
      </c>
      <c r="J16" s="72" t="s">
        <v>58</v>
      </c>
      <c r="K16" s="67">
        <f t="shared" si="0"/>
        <v>263.78550000000001</v>
      </c>
      <c r="L16" s="51"/>
      <c r="M16" s="52"/>
      <c r="N16" s="57"/>
      <c r="O16" s="57"/>
      <c r="P16" s="57"/>
      <c r="Q16" s="57"/>
      <c r="R16" s="57"/>
      <c r="S16" s="57"/>
      <c r="T16" s="57"/>
      <c r="U16" s="58"/>
      <c r="V16" s="120"/>
      <c r="W16" s="125"/>
      <c r="X16" s="57"/>
      <c r="Y16" s="57"/>
      <c r="Z16" s="57"/>
      <c r="AA16" s="57"/>
      <c r="AB16" s="57"/>
      <c r="AC16" s="57"/>
      <c r="AD16" s="57"/>
      <c r="AE16" s="63"/>
      <c r="AF16" s="131">
        <f t="shared" si="1"/>
        <v>586190</v>
      </c>
      <c r="AG16" s="79" t="s">
        <v>60</v>
      </c>
      <c r="AH16" s="111">
        <f>AF16*375</f>
        <v>219821250</v>
      </c>
      <c r="AI16" s="31" t="s">
        <v>58</v>
      </c>
      <c r="AJ16" s="40">
        <f t="shared" si="2"/>
        <v>219.82124999999999</v>
      </c>
    </row>
    <row r="17" spans="1:36" s="20" customFormat="1" ht="30" customHeight="1" thickBot="1" x14ac:dyDescent="0.3">
      <c r="A17" s="107">
        <v>14</v>
      </c>
      <c r="B17" s="108" t="s">
        <v>26</v>
      </c>
      <c r="C17" s="127">
        <v>1074930</v>
      </c>
      <c r="D17" s="135">
        <v>239820.78730177798</v>
      </c>
      <c r="E17" s="136">
        <v>541981</v>
      </c>
      <c r="F17" s="135">
        <f t="shared" si="3"/>
        <v>293128.21269822202</v>
      </c>
      <c r="G17" s="117" t="s">
        <v>70</v>
      </c>
      <c r="H17" s="76" t="s">
        <v>59</v>
      </c>
      <c r="I17" s="91">
        <f>F17*300</f>
        <v>87938463.8094666</v>
      </c>
      <c r="J17" s="75" t="s">
        <v>58</v>
      </c>
      <c r="K17" s="68">
        <f t="shared" si="0"/>
        <v>87.938463809466597</v>
      </c>
      <c r="L17" s="199"/>
      <c r="M17" s="81"/>
      <c r="N17" s="112"/>
      <c r="O17" s="112"/>
      <c r="P17" s="112"/>
      <c r="Q17" s="112"/>
      <c r="R17" s="112"/>
      <c r="S17" s="112"/>
      <c r="T17" s="112"/>
      <c r="U17" s="113"/>
      <c r="V17" s="200"/>
      <c r="W17" s="153"/>
      <c r="X17" s="112"/>
      <c r="Y17" s="112"/>
      <c r="Z17" s="112"/>
      <c r="AA17" s="112"/>
      <c r="AB17" s="112"/>
      <c r="AC17" s="112"/>
      <c r="AD17" s="112"/>
      <c r="AE17" s="154"/>
      <c r="AF17" s="131">
        <f t="shared" si="1"/>
        <v>293128.21269822202</v>
      </c>
      <c r="AG17" s="172" t="s">
        <v>59</v>
      </c>
      <c r="AH17" s="219">
        <f>AF17*300</f>
        <v>87938463.8094666</v>
      </c>
      <c r="AI17" s="220" t="s">
        <v>58</v>
      </c>
      <c r="AJ17" s="173">
        <f t="shared" si="2"/>
        <v>87.938463809466597</v>
      </c>
    </row>
    <row r="18" spans="1:36" s="20" customFormat="1" ht="30" customHeight="1" x14ac:dyDescent="0.25">
      <c r="A18" s="160"/>
      <c r="B18" s="161"/>
      <c r="C18" s="161"/>
      <c r="D18" s="161"/>
      <c r="E18" s="161"/>
      <c r="F18" s="162"/>
      <c r="G18" s="163"/>
      <c r="H18" s="164"/>
      <c r="I18" s="163"/>
      <c r="J18" s="164"/>
      <c r="K18" s="165"/>
      <c r="L18" s="167">
        <v>1</v>
      </c>
      <c r="M18" s="168" t="s">
        <v>16</v>
      </c>
      <c r="N18" s="169">
        <v>5099575</v>
      </c>
      <c r="O18" s="169">
        <v>2831400</v>
      </c>
      <c r="P18" s="206">
        <v>1093553</v>
      </c>
      <c r="Q18" s="212">
        <f>N18-P18</f>
        <v>4006022</v>
      </c>
      <c r="R18" s="212">
        <f>N18-O18</f>
        <v>2268175</v>
      </c>
      <c r="S18" s="170" t="s">
        <v>46</v>
      </c>
      <c r="T18" s="205">
        <f>R18</f>
        <v>2268175</v>
      </c>
      <c r="U18" s="73" t="s">
        <v>57</v>
      </c>
      <c r="V18" s="97">
        <f>T18/1000*1.03</f>
        <v>2336.2202500000003</v>
      </c>
      <c r="W18" s="122"/>
      <c r="X18" s="123"/>
      <c r="Y18" s="123"/>
      <c r="Z18" s="123"/>
      <c r="AA18" s="123"/>
      <c r="AB18" s="123"/>
      <c r="AC18" s="123"/>
      <c r="AD18" s="123"/>
      <c r="AE18" s="61"/>
      <c r="AF18" s="130">
        <f>N18-P18-[1]VerwerkingSTOCKS!$Q$748</f>
        <v>3911416</v>
      </c>
      <c r="AG18" s="205" t="s">
        <v>46</v>
      </c>
      <c r="AH18" s="110">
        <f>P18</f>
        <v>1093553</v>
      </c>
      <c r="AI18" s="73" t="s">
        <v>57</v>
      </c>
      <c r="AJ18" s="227">
        <f>AH18/1000*1.03</f>
        <v>1126.3595900000003</v>
      </c>
    </row>
    <row r="19" spans="1:36" s="20" customFormat="1" ht="30" customHeight="1" x14ac:dyDescent="0.25">
      <c r="A19" s="86"/>
      <c r="B19" s="87"/>
      <c r="C19" s="87"/>
      <c r="D19" s="87"/>
      <c r="E19" s="87"/>
      <c r="F19" s="53"/>
      <c r="G19" s="94"/>
      <c r="H19" s="88"/>
      <c r="I19" s="94"/>
      <c r="J19" s="52"/>
      <c r="K19" s="85"/>
      <c r="L19" s="84">
        <v>2</v>
      </c>
      <c r="M19" s="83" t="s">
        <v>66</v>
      </c>
      <c r="N19" s="79">
        <v>965357</v>
      </c>
      <c r="O19" s="208">
        <v>0</v>
      </c>
      <c r="P19" s="208">
        <v>0</v>
      </c>
      <c r="Q19" s="79">
        <f>N19-P19</f>
        <v>965357</v>
      </c>
      <c r="R19" s="79">
        <f>N19-O19</f>
        <v>965357</v>
      </c>
      <c r="S19" s="33" t="s">
        <v>48</v>
      </c>
      <c r="T19" s="33">
        <f>R19*125</f>
        <v>120669625</v>
      </c>
      <c r="U19" s="157" t="s">
        <v>58</v>
      </c>
      <c r="V19" s="40">
        <f t="shared" ref="V19:V32" si="4">T19/1000000</f>
        <v>120.669625</v>
      </c>
      <c r="W19" s="156"/>
      <c r="X19" s="155"/>
      <c r="Y19" s="155"/>
      <c r="Z19" s="155"/>
      <c r="AA19" s="155"/>
      <c r="AB19" s="155"/>
      <c r="AC19" s="155"/>
      <c r="AD19" s="155"/>
      <c r="AE19" s="114"/>
      <c r="AF19" s="215">
        <f>N19-P19-[1]VerwerkingSTOCKS!$V$748</f>
        <v>4060</v>
      </c>
      <c r="AG19" s="216" t="s">
        <v>48</v>
      </c>
      <c r="AH19" s="217">
        <f>AF19*125</f>
        <v>507500</v>
      </c>
      <c r="AI19" s="226" t="s">
        <v>58</v>
      </c>
      <c r="AJ19" s="218">
        <f>AH19/1000000</f>
        <v>0.50749999999999995</v>
      </c>
    </row>
    <row r="20" spans="1:36" s="20" customFormat="1" ht="30" customHeight="1" x14ac:dyDescent="0.25">
      <c r="A20" s="43"/>
      <c r="B20" s="44"/>
      <c r="C20" s="44"/>
      <c r="D20" s="44"/>
      <c r="E20" s="44"/>
      <c r="F20" s="66"/>
      <c r="G20" s="95"/>
      <c r="H20" s="45"/>
      <c r="I20" s="95"/>
      <c r="J20" s="45"/>
      <c r="K20" s="166"/>
      <c r="L20" s="59">
        <v>3</v>
      </c>
      <c r="M20" s="64" t="s">
        <v>39</v>
      </c>
      <c r="N20" s="80">
        <v>1795725</v>
      </c>
      <c r="O20" s="80">
        <v>1795725</v>
      </c>
      <c r="P20" s="207">
        <v>462162</v>
      </c>
      <c r="Q20" s="79">
        <f t="shared" ref="Q20:Q32" si="5">N20-P20</f>
        <v>1333563</v>
      </c>
      <c r="R20" s="79">
        <f t="shared" ref="R20:R32" si="6">N20-O20</f>
        <v>0</v>
      </c>
      <c r="S20" s="41" t="s">
        <v>52</v>
      </c>
      <c r="T20" s="33">
        <v>0</v>
      </c>
      <c r="U20" s="157" t="s">
        <v>58</v>
      </c>
      <c r="V20" s="40">
        <f t="shared" si="4"/>
        <v>0</v>
      </c>
      <c r="W20" s="156"/>
      <c r="X20" s="155"/>
      <c r="Y20" s="155"/>
      <c r="Z20" s="155"/>
      <c r="AA20" s="155"/>
      <c r="AB20" s="155"/>
      <c r="AC20" s="155"/>
      <c r="AD20" s="155"/>
      <c r="AE20" s="114"/>
      <c r="AF20" s="131">
        <f>N20-P20-[1]VerwerkingSTOCKS!$AA$748</f>
        <v>926178</v>
      </c>
      <c r="AG20" s="41" t="s">
        <v>52</v>
      </c>
      <c r="AH20" s="111">
        <f>P20*400</f>
        <v>184864800</v>
      </c>
      <c r="AI20" s="72" t="s">
        <v>58</v>
      </c>
      <c r="AJ20" s="42">
        <f t="shared" ref="AJ20:AJ31" si="7">AH20/1000000</f>
        <v>184.8648</v>
      </c>
    </row>
    <row r="21" spans="1:36" s="20" customFormat="1" ht="30" customHeight="1" x14ac:dyDescent="0.25">
      <c r="A21" s="43"/>
      <c r="B21" s="44"/>
      <c r="C21" s="44"/>
      <c r="D21" s="44"/>
      <c r="E21" s="44"/>
      <c r="F21" s="66"/>
      <c r="G21" s="95"/>
      <c r="H21" s="45"/>
      <c r="I21" s="95"/>
      <c r="J21" s="45"/>
      <c r="K21" s="166"/>
      <c r="L21" s="59">
        <v>4</v>
      </c>
      <c r="M21" s="64" t="s">
        <v>40</v>
      </c>
      <c r="N21" s="80">
        <v>1254769</v>
      </c>
      <c r="O21" s="80">
        <v>1253004</v>
      </c>
      <c r="P21" s="207">
        <v>356054</v>
      </c>
      <c r="Q21" s="79">
        <f t="shared" si="5"/>
        <v>898715</v>
      </c>
      <c r="R21" s="79">
        <f t="shared" si="6"/>
        <v>1765</v>
      </c>
      <c r="S21" s="41" t="s">
        <v>52</v>
      </c>
      <c r="T21" s="33">
        <f>R21*400</f>
        <v>706000</v>
      </c>
      <c r="U21" s="157" t="s">
        <v>58</v>
      </c>
      <c r="V21" s="40">
        <f t="shared" si="4"/>
        <v>0.70599999999999996</v>
      </c>
      <c r="W21" s="156"/>
      <c r="X21" s="155"/>
      <c r="Y21" s="155"/>
      <c r="Z21" s="155"/>
      <c r="AA21" s="155"/>
      <c r="AB21" s="155"/>
      <c r="AC21" s="155"/>
      <c r="AD21" s="155"/>
      <c r="AE21" s="114"/>
      <c r="AF21" s="131">
        <f>N21-P21-[1]VerwerkingSTOCKS!$AF$748</f>
        <v>794561</v>
      </c>
      <c r="AG21" s="41" t="s">
        <v>52</v>
      </c>
      <c r="AH21" s="111">
        <f>P21*400</f>
        <v>142421600</v>
      </c>
      <c r="AI21" s="72" t="s">
        <v>58</v>
      </c>
      <c r="AJ21" s="42">
        <f t="shared" si="7"/>
        <v>142.42160000000001</v>
      </c>
    </row>
    <row r="22" spans="1:36" s="20" customFormat="1" ht="30" customHeight="1" x14ac:dyDescent="0.25">
      <c r="A22" s="43"/>
      <c r="B22" s="44"/>
      <c r="C22" s="44"/>
      <c r="D22" s="44"/>
      <c r="E22" s="44"/>
      <c r="F22" s="66"/>
      <c r="G22" s="95"/>
      <c r="H22" s="45"/>
      <c r="I22" s="95"/>
      <c r="J22" s="45"/>
      <c r="K22" s="166"/>
      <c r="L22" s="59">
        <v>5</v>
      </c>
      <c r="M22" s="64" t="s">
        <v>61</v>
      </c>
      <c r="N22" s="80">
        <v>1206044</v>
      </c>
      <c r="O22" s="209">
        <v>0</v>
      </c>
      <c r="P22" s="208">
        <v>0</v>
      </c>
      <c r="Q22" s="79">
        <f t="shared" si="5"/>
        <v>1206044</v>
      </c>
      <c r="R22" s="79">
        <f t="shared" si="6"/>
        <v>1206044</v>
      </c>
      <c r="S22" s="41" t="s">
        <v>50</v>
      </c>
      <c r="T22" s="33">
        <f>R22*1000</f>
        <v>1206044000</v>
      </c>
      <c r="U22" s="157" t="s">
        <v>58</v>
      </c>
      <c r="V22" s="40">
        <f t="shared" si="4"/>
        <v>1206.0440000000001</v>
      </c>
      <c r="W22" s="156"/>
      <c r="X22" s="155"/>
      <c r="Y22" s="155"/>
      <c r="Z22" s="155"/>
      <c r="AA22" s="155"/>
      <c r="AB22" s="155"/>
      <c r="AC22" s="155"/>
      <c r="AD22" s="155"/>
      <c r="AE22" s="114"/>
      <c r="AF22" s="131">
        <f>N22-P22-[1]VerwerkingSTOCKS!$AK$748</f>
        <v>1059359</v>
      </c>
      <c r="AG22" s="41" t="s">
        <v>50</v>
      </c>
      <c r="AH22" s="111">
        <f>AF22*1000</f>
        <v>1059359000</v>
      </c>
      <c r="AI22" s="72" t="s">
        <v>58</v>
      </c>
      <c r="AJ22" s="42">
        <f>AH22/1000000</f>
        <v>1059.3589999999999</v>
      </c>
    </row>
    <row r="23" spans="1:36" s="20" customFormat="1" ht="30" customHeight="1" x14ac:dyDescent="0.25">
      <c r="A23" s="43"/>
      <c r="B23" s="44"/>
      <c r="C23" s="44"/>
      <c r="D23" s="44"/>
      <c r="E23" s="44"/>
      <c r="F23" s="66"/>
      <c r="G23" s="95"/>
      <c r="H23" s="45"/>
      <c r="I23" s="45"/>
      <c r="J23" s="45"/>
      <c r="K23" s="166"/>
      <c r="L23" s="59">
        <v>6</v>
      </c>
      <c r="M23" s="64" t="s">
        <v>38</v>
      </c>
      <c r="N23" s="80">
        <v>1876584</v>
      </c>
      <c r="O23" s="80">
        <v>159840</v>
      </c>
      <c r="P23" s="207">
        <v>16137</v>
      </c>
      <c r="Q23" s="79">
        <f t="shared" si="5"/>
        <v>1860447</v>
      </c>
      <c r="R23" s="79">
        <f t="shared" si="6"/>
        <v>1716744</v>
      </c>
      <c r="S23" s="41" t="s">
        <v>51</v>
      </c>
      <c r="T23" s="33">
        <f>R23*500</f>
        <v>858372000</v>
      </c>
      <c r="U23" s="157" t="s">
        <v>58</v>
      </c>
      <c r="V23" s="40">
        <f t="shared" si="4"/>
        <v>858.37199999999996</v>
      </c>
      <c r="W23" s="156"/>
      <c r="X23" s="155"/>
      <c r="Y23" s="155"/>
      <c r="Z23" s="155"/>
      <c r="AA23" s="155"/>
      <c r="AB23" s="155"/>
      <c r="AC23" s="155"/>
      <c r="AD23" s="155"/>
      <c r="AE23" s="114"/>
      <c r="AF23" s="131">
        <f>N23-P23-[1]VerwerkingSTOCKS!$BJ$748</f>
        <v>1216027</v>
      </c>
      <c r="AG23" s="41" t="s">
        <v>51</v>
      </c>
      <c r="AH23" s="111">
        <f>P23*500</f>
        <v>8068500</v>
      </c>
      <c r="AI23" s="72" t="s">
        <v>58</v>
      </c>
      <c r="AJ23" s="42">
        <f t="shared" si="7"/>
        <v>8.0685000000000002</v>
      </c>
    </row>
    <row r="24" spans="1:36" s="20" customFormat="1" ht="30" customHeight="1" x14ac:dyDescent="0.25">
      <c r="A24" s="43"/>
      <c r="B24" s="44"/>
      <c r="C24" s="44"/>
      <c r="D24" s="44"/>
      <c r="E24" s="44"/>
      <c r="F24" s="66"/>
      <c r="G24" s="95"/>
      <c r="H24" s="45"/>
      <c r="I24" s="45"/>
      <c r="J24" s="45"/>
      <c r="K24" s="166"/>
      <c r="L24" s="59">
        <v>7</v>
      </c>
      <c r="M24" s="64" t="s">
        <v>20</v>
      </c>
      <c r="N24" s="80">
        <v>1902978</v>
      </c>
      <c r="O24" s="80">
        <v>1902978</v>
      </c>
      <c r="P24" s="207">
        <v>427913</v>
      </c>
      <c r="Q24" s="79">
        <f t="shared" si="5"/>
        <v>1475065</v>
      </c>
      <c r="R24" s="79">
        <f t="shared" si="6"/>
        <v>0</v>
      </c>
      <c r="S24" s="41" t="s">
        <v>52</v>
      </c>
      <c r="T24" s="33">
        <v>0</v>
      </c>
      <c r="U24" s="157" t="s">
        <v>58</v>
      </c>
      <c r="V24" s="40">
        <f t="shared" si="4"/>
        <v>0</v>
      </c>
      <c r="W24" s="156"/>
      <c r="X24" s="155"/>
      <c r="Y24" s="155"/>
      <c r="Z24" s="155"/>
      <c r="AA24" s="155"/>
      <c r="AB24" s="155"/>
      <c r="AC24" s="155"/>
      <c r="AD24" s="155"/>
      <c r="AE24" s="114"/>
      <c r="AF24" s="131">
        <f>N24-P24-[1]VerwerkingSTOCKS!$AP$748</f>
        <v>1305721</v>
      </c>
      <c r="AG24" s="41" t="s">
        <v>52</v>
      </c>
      <c r="AH24" s="111">
        <f>P24*400</f>
        <v>171165200</v>
      </c>
      <c r="AI24" s="72" t="s">
        <v>58</v>
      </c>
      <c r="AJ24" s="42">
        <f t="shared" si="7"/>
        <v>171.1652</v>
      </c>
    </row>
    <row r="25" spans="1:36" s="20" customFormat="1" ht="30" customHeight="1" x14ac:dyDescent="0.25">
      <c r="A25" s="43"/>
      <c r="B25" s="44"/>
      <c r="C25" s="44"/>
      <c r="D25" s="44"/>
      <c r="E25" s="44"/>
      <c r="F25" s="66"/>
      <c r="G25" s="95"/>
      <c r="H25" s="45"/>
      <c r="I25" s="45"/>
      <c r="J25" s="45"/>
      <c r="K25" s="166"/>
      <c r="L25" s="59">
        <v>8</v>
      </c>
      <c r="M25" s="64" t="s">
        <v>41</v>
      </c>
      <c r="N25" s="80">
        <v>1527213</v>
      </c>
      <c r="O25" s="80">
        <v>474924</v>
      </c>
      <c r="P25" s="207">
        <v>218083</v>
      </c>
      <c r="Q25" s="79">
        <f t="shared" si="5"/>
        <v>1309130</v>
      </c>
      <c r="R25" s="79">
        <f t="shared" si="6"/>
        <v>1052289</v>
      </c>
      <c r="S25" s="41" t="s">
        <v>52</v>
      </c>
      <c r="T25" s="33">
        <f>R25*400</f>
        <v>420915600</v>
      </c>
      <c r="U25" s="157" t="s">
        <v>58</v>
      </c>
      <c r="V25" s="40">
        <f t="shared" si="4"/>
        <v>420.91559999999998</v>
      </c>
      <c r="W25" s="156"/>
      <c r="X25" s="155"/>
      <c r="Y25" s="155"/>
      <c r="Z25" s="155"/>
      <c r="AA25" s="155"/>
      <c r="AB25" s="155"/>
      <c r="AC25" s="155"/>
      <c r="AD25" s="155"/>
      <c r="AE25" s="114"/>
      <c r="AF25" s="131">
        <f>N25-P25-[1]VerwerkingSTOCKS!$AU$748</f>
        <v>1126592</v>
      </c>
      <c r="AG25" s="41" t="s">
        <v>52</v>
      </c>
      <c r="AH25" s="111">
        <f>P25*400</f>
        <v>87233200</v>
      </c>
      <c r="AI25" s="72" t="s">
        <v>58</v>
      </c>
      <c r="AJ25" s="42">
        <f t="shared" si="7"/>
        <v>87.233199999999997</v>
      </c>
    </row>
    <row r="26" spans="1:36" s="20" customFormat="1" ht="30" customHeight="1" x14ac:dyDescent="0.25">
      <c r="A26" s="43"/>
      <c r="B26" s="44"/>
      <c r="C26" s="44"/>
      <c r="D26" s="44"/>
      <c r="E26" s="44"/>
      <c r="F26" s="66"/>
      <c r="G26" s="95"/>
      <c r="H26" s="45"/>
      <c r="I26" s="45"/>
      <c r="J26" s="45"/>
      <c r="K26" s="166"/>
      <c r="L26" s="59">
        <v>9</v>
      </c>
      <c r="M26" s="64" t="s">
        <v>42</v>
      </c>
      <c r="N26" s="109">
        <v>1598779</v>
      </c>
      <c r="O26" s="109">
        <v>1598779</v>
      </c>
      <c r="P26" s="207">
        <v>339770</v>
      </c>
      <c r="Q26" s="79">
        <f t="shared" si="5"/>
        <v>1259009</v>
      </c>
      <c r="R26" s="79">
        <f t="shared" si="6"/>
        <v>0</v>
      </c>
      <c r="S26" s="41" t="s">
        <v>62</v>
      </c>
      <c r="T26" s="33">
        <v>0</v>
      </c>
      <c r="U26" s="157" t="s">
        <v>58</v>
      </c>
      <c r="V26" s="40">
        <f t="shared" si="4"/>
        <v>0</v>
      </c>
      <c r="W26" s="156"/>
      <c r="X26" s="155"/>
      <c r="Y26" s="155"/>
      <c r="Z26" s="155"/>
      <c r="AA26" s="155"/>
      <c r="AB26" s="155"/>
      <c r="AC26" s="155"/>
      <c r="AD26" s="155"/>
      <c r="AE26" s="114"/>
      <c r="AF26" s="131">
        <f>N26-P26-[1]VerwerkingSTOCKS!$AZ$748</f>
        <v>1191489</v>
      </c>
      <c r="AG26" s="41" t="s">
        <v>62</v>
      </c>
      <c r="AH26" s="111">
        <f>P26*140</f>
        <v>47567800</v>
      </c>
      <c r="AI26" s="72" t="s">
        <v>58</v>
      </c>
      <c r="AJ26" s="42">
        <f t="shared" si="7"/>
        <v>47.567799999999998</v>
      </c>
    </row>
    <row r="27" spans="1:36" s="20" customFormat="1" ht="30" customHeight="1" x14ac:dyDescent="0.25">
      <c r="A27" s="43"/>
      <c r="B27" s="44"/>
      <c r="C27" s="44"/>
      <c r="D27" s="44"/>
      <c r="E27" s="44"/>
      <c r="F27" s="66"/>
      <c r="G27" s="95"/>
      <c r="H27" s="45"/>
      <c r="I27" s="45"/>
      <c r="J27" s="45"/>
      <c r="K27" s="166"/>
      <c r="L27" s="59">
        <v>10</v>
      </c>
      <c r="M27" s="64" t="s">
        <v>67</v>
      </c>
      <c r="N27" s="80">
        <v>2364288</v>
      </c>
      <c r="O27" s="210">
        <v>0</v>
      </c>
      <c r="P27" s="213">
        <v>0</v>
      </c>
      <c r="Q27" s="79">
        <f t="shared" si="5"/>
        <v>2364288</v>
      </c>
      <c r="R27" s="79">
        <f t="shared" si="6"/>
        <v>2364288</v>
      </c>
      <c r="S27" s="41" t="s">
        <v>63</v>
      </c>
      <c r="T27" s="33">
        <f>R27*370</f>
        <v>874786560</v>
      </c>
      <c r="U27" s="157" t="s">
        <v>58</v>
      </c>
      <c r="V27" s="40">
        <f t="shared" si="4"/>
        <v>874.78656000000001</v>
      </c>
      <c r="W27" s="156"/>
      <c r="X27" s="155"/>
      <c r="Y27" s="155"/>
      <c r="Z27" s="155"/>
      <c r="AA27" s="155"/>
      <c r="AB27" s="155"/>
      <c r="AC27" s="155"/>
      <c r="AD27" s="155"/>
      <c r="AE27" s="114"/>
      <c r="AF27" s="131">
        <f>N27-P27-[1]VerwerkingSTOCKS!$BE$748</f>
        <v>1564146</v>
      </c>
      <c r="AG27" s="41" t="s">
        <v>63</v>
      </c>
      <c r="AH27" s="222">
        <f>AF27*370</f>
        <v>578734020</v>
      </c>
      <c r="AI27" s="157" t="s">
        <v>58</v>
      </c>
      <c r="AJ27" s="42">
        <f>AH27/1000000</f>
        <v>578.73401999999999</v>
      </c>
    </row>
    <row r="28" spans="1:36" s="20" customFormat="1" ht="30" customHeight="1" x14ac:dyDescent="0.25">
      <c r="A28" s="43"/>
      <c r="B28" s="44"/>
      <c r="C28" s="44"/>
      <c r="D28" s="44"/>
      <c r="E28" s="44"/>
      <c r="F28" s="66"/>
      <c r="G28" s="95"/>
      <c r="H28" s="45"/>
      <c r="I28" s="45"/>
      <c r="J28" s="45"/>
      <c r="K28" s="166"/>
      <c r="L28" s="59">
        <v>11</v>
      </c>
      <c r="M28" s="64" t="s">
        <v>43</v>
      </c>
      <c r="N28" s="80">
        <v>187560</v>
      </c>
      <c r="O28" s="80">
        <v>75000</v>
      </c>
      <c r="P28" s="207">
        <v>41396</v>
      </c>
      <c r="Q28" s="79">
        <f t="shared" si="5"/>
        <v>146164</v>
      </c>
      <c r="R28" s="79">
        <f t="shared" si="6"/>
        <v>112560</v>
      </c>
      <c r="S28" s="41" t="s">
        <v>46</v>
      </c>
      <c r="T28" s="33">
        <f>R28</f>
        <v>112560</v>
      </c>
      <c r="U28" s="157" t="s">
        <v>57</v>
      </c>
      <c r="V28" s="171">
        <f>T28/1000*0.92</f>
        <v>103.55520000000001</v>
      </c>
      <c r="W28" s="124"/>
      <c r="X28" s="121"/>
      <c r="Y28" s="121"/>
      <c r="Z28" s="121"/>
      <c r="AA28" s="121"/>
      <c r="AB28" s="121"/>
      <c r="AC28" s="121"/>
      <c r="AD28" s="121"/>
      <c r="AE28" s="62"/>
      <c r="AF28" s="131">
        <f>N28-P28-[1]VerwerkingSTOCKS!$BO$748</f>
        <v>136167</v>
      </c>
      <c r="AG28" s="41" t="s">
        <v>46</v>
      </c>
      <c r="AH28" s="111">
        <f>AF28</f>
        <v>136167</v>
      </c>
      <c r="AI28" s="72" t="s">
        <v>57</v>
      </c>
      <c r="AJ28" s="42">
        <f>AH28/1000*0.92</f>
        <v>125.27364</v>
      </c>
    </row>
    <row r="29" spans="1:36" s="20" customFormat="1" ht="30" customHeight="1" x14ac:dyDescent="0.25">
      <c r="A29" s="43"/>
      <c r="B29" s="44"/>
      <c r="C29" s="44"/>
      <c r="D29" s="44"/>
      <c r="E29" s="44"/>
      <c r="F29" s="66"/>
      <c r="G29" s="95"/>
      <c r="H29" s="45"/>
      <c r="I29" s="45"/>
      <c r="J29" s="45"/>
      <c r="K29" s="166"/>
      <c r="L29" s="59">
        <v>12</v>
      </c>
      <c r="M29" s="64" t="s">
        <v>44</v>
      </c>
      <c r="N29" s="79">
        <v>965357</v>
      </c>
      <c r="O29" s="79">
        <v>965357</v>
      </c>
      <c r="P29" s="207">
        <v>241899</v>
      </c>
      <c r="Q29" s="79">
        <f t="shared" si="5"/>
        <v>723458</v>
      </c>
      <c r="R29" s="79">
        <f t="shared" si="6"/>
        <v>0</v>
      </c>
      <c r="S29" s="41" t="s">
        <v>64</v>
      </c>
      <c r="T29" s="33">
        <f>0</f>
        <v>0</v>
      </c>
      <c r="U29" s="157" t="s">
        <v>58</v>
      </c>
      <c r="V29" s="40">
        <f t="shared" si="4"/>
        <v>0</v>
      </c>
      <c r="W29" s="156"/>
      <c r="X29" s="155"/>
      <c r="Y29" s="155"/>
      <c r="Z29" s="155"/>
      <c r="AA29" s="155"/>
      <c r="AB29" s="155"/>
      <c r="AC29" s="155"/>
      <c r="AD29" s="155"/>
      <c r="AE29" s="114"/>
      <c r="AF29" s="131">
        <f>N29-P29-[1]VerwerkingSTOCKS!$BT$748</f>
        <v>608122</v>
      </c>
      <c r="AG29" s="41" t="s">
        <v>64</v>
      </c>
      <c r="AH29" s="111">
        <f>P29*454</f>
        <v>109822146</v>
      </c>
      <c r="AI29" s="72" t="s">
        <v>58</v>
      </c>
      <c r="AJ29" s="42">
        <f t="shared" si="7"/>
        <v>109.822146</v>
      </c>
    </row>
    <row r="30" spans="1:36" s="20" customFormat="1" ht="30" customHeight="1" x14ac:dyDescent="0.25">
      <c r="A30" s="43"/>
      <c r="B30" s="44"/>
      <c r="C30" s="44"/>
      <c r="D30" s="44"/>
      <c r="E30" s="44"/>
      <c r="F30" s="66"/>
      <c r="G30" s="95"/>
      <c r="H30" s="45"/>
      <c r="I30" s="45"/>
      <c r="J30" s="45"/>
      <c r="K30" s="166"/>
      <c r="L30" s="59">
        <v>13</v>
      </c>
      <c r="M30" s="64" t="s">
        <v>69</v>
      </c>
      <c r="N30" s="80">
        <v>347696</v>
      </c>
      <c r="O30" s="209">
        <v>0</v>
      </c>
      <c r="P30" s="213">
        <v>0</v>
      </c>
      <c r="Q30" s="79">
        <f t="shared" si="5"/>
        <v>347696</v>
      </c>
      <c r="R30" s="79">
        <f t="shared" si="6"/>
        <v>347696</v>
      </c>
      <c r="S30" s="41" t="s">
        <v>51</v>
      </c>
      <c r="T30" s="33">
        <f>R30*500</f>
        <v>173848000</v>
      </c>
      <c r="U30" s="157" t="s">
        <v>58</v>
      </c>
      <c r="V30" s="40">
        <f t="shared" si="4"/>
        <v>173.84800000000001</v>
      </c>
      <c r="W30" s="156"/>
      <c r="X30" s="155"/>
      <c r="Y30" s="155"/>
      <c r="Z30" s="155"/>
      <c r="AA30" s="155"/>
      <c r="AB30" s="155"/>
      <c r="AC30" s="155"/>
      <c r="AD30" s="155"/>
      <c r="AE30" s="114"/>
      <c r="AF30" s="131">
        <f>N30-P30-[1]VerwerkingSTOCKS!$BY$748</f>
        <v>305423</v>
      </c>
      <c r="AG30" s="41" t="s">
        <v>51</v>
      </c>
      <c r="AH30" s="111">
        <f>AF30*500</f>
        <v>152711500</v>
      </c>
      <c r="AI30" s="72" t="s">
        <v>58</v>
      </c>
      <c r="AJ30" s="42">
        <f>AH30/1000000</f>
        <v>152.7115</v>
      </c>
    </row>
    <row r="31" spans="1:36" s="20" customFormat="1" ht="30" customHeight="1" x14ac:dyDescent="0.25">
      <c r="A31" s="43"/>
      <c r="B31" s="44"/>
      <c r="C31" s="44"/>
      <c r="D31" s="44"/>
      <c r="E31" s="44"/>
      <c r="F31" s="66"/>
      <c r="G31" s="95"/>
      <c r="H31" s="45"/>
      <c r="I31" s="45"/>
      <c r="J31" s="45"/>
      <c r="K31" s="166"/>
      <c r="L31" s="59">
        <v>14</v>
      </c>
      <c r="M31" s="64" t="s">
        <v>45</v>
      </c>
      <c r="N31" s="80">
        <v>351234</v>
      </c>
      <c r="O31" s="80">
        <v>189900</v>
      </c>
      <c r="P31" s="207">
        <v>89192</v>
      </c>
      <c r="Q31" s="79">
        <f t="shared" si="5"/>
        <v>262042</v>
      </c>
      <c r="R31" s="79">
        <f t="shared" si="6"/>
        <v>161334</v>
      </c>
      <c r="S31" s="41" t="s">
        <v>51</v>
      </c>
      <c r="T31" s="33">
        <f>R31*500</f>
        <v>80667000</v>
      </c>
      <c r="U31" s="157" t="s">
        <v>58</v>
      </c>
      <c r="V31" s="40">
        <f t="shared" si="4"/>
        <v>80.667000000000002</v>
      </c>
      <c r="W31" s="156"/>
      <c r="X31" s="155"/>
      <c r="Y31" s="155"/>
      <c r="Z31" s="155"/>
      <c r="AA31" s="155"/>
      <c r="AB31" s="155"/>
      <c r="AC31" s="155"/>
      <c r="AD31" s="155"/>
      <c r="AE31" s="114"/>
      <c r="AF31" s="131">
        <f>N31-P31-[1]VerwerkingSTOCKS!$CD$748</f>
        <v>226725</v>
      </c>
      <c r="AG31" s="41" t="s">
        <v>51</v>
      </c>
      <c r="AH31" s="111">
        <f>P31*500</f>
        <v>44596000</v>
      </c>
      <c r="AI31" s="72" t="s">
        <v>58</v>
      </c>
      <c r="AJ31" s="42">
        <f t="shared" si="7"/>
        <v>44.595999999999997</v>
      </c>
    </row>
    <row r="32" spans="1:36" s="20" customFormat="1" ht="30" customHeight="1" thickBot="1" x14ac:dyDescent="0.3">
      <c r="A32" s="43"/>
      <c r="B32" s="44"/>
      <c r="C32" s="44"/>
      <c r="D32" s="44"/>
      <c r="E32" s="44"/>
      <c r="F32" s="66"/>
      <c r="G32" s="66"/>
      <c r="H32" s="81"/>
      <c r="I32" s="81"/>
      <c r="J32" s="81"/>
      <c r="K32" s="166"/>
      <c r="L32" s="60">
        <v>15</v>
      </c>
      <c r="M32" s="65" t="s">
        <v>68</v>
      </c>
      <c r="N32" s="91">
        <v>398681</v>
      </c>
      <c r="O32" s="211">
        <v>0</v>
      </c>
      <c r="P32" s="214">
        <v>0</v>
      </c>
      <c r="Q32" s="172">
        <f t="shared" si="5"/>
        <v>398681</v>
      </c>
      <c r="R32" s="172">
        <f t="shared" si="6"/>
        <v>398681</v>
      </c>
      <c r="S32" s="158" t="s">
        <v>65</v>
      </c>
      <c r="T32" s="136">
        <f>R32*400</f>
        <v>159472400</v>
      </c>
      <c r="U32" s="159" t="s">
        <v>58</v>
      </c>
      <c r="V32" s="173">
        <f t="shared" si="4"/>
        <v>159.47239999999999</v>
      </c>
      <c r="W32" s="232"/>
      <c r="X32" s="231"/>
      <c r="Y32" s="231"/>
      <c r="Z32" s="231"/>
      <c r="AA32" s="231"/>
      <c r="AB32" s="231"/>
      <c r="AC32" s="231"/>
      <c r="AD32" s="231"/>
      <c r="AE32" s="233"/>
      <c r="AF32" s="224">
        <f>N32-P32-[1]VerwerkingSTOCKS!$CI$748</f>
        <v>338214</v>
      </c>
      <c r="AG32" s="136" t="s">
        <v>65</v>
      </c>
      <c r="AH32" s="219">
        <f>AF32*400</f>
        <v>135285600</v>
      </c>
      <c r="AI32" s="225" t="s">
        <v>58</v>
      </c>
      <c r="AJ32" s="173">
        <f>AH32/1000000</f>
        <v>135.28559999999999</v>
      </c>
    </row>
    <row r="33" spans="1:36" s="3" customFormat="1" ht="30" x14ac:dyDescent="0.3">
      <c r="A33" s="175"/>
      <c r="B33" s="176"/>
      <c r="C33" s="176"/>
      <c r="D33" s="176"/>
      <c r="E33" s="176"/>
      <c r="F33" s="177"/>
      <c r="G33" s="177"/>
      <c r="H33" s="178"/>
      <c r="I33" s="178"/>
      <c r="J33" s="178"/>
      <c r="K33" s="179"/>
      <c r="L33" s="201"/>
      <c r="M33" s="202"/>
      <c r="N33" s="203"/>
      <c r="O33" s="203"/>
      <c r="P33" s="203"/>
      <c r="Q33" s="203"/>
      <c r="R33" s="203"/>
      <c r="S33" s="198"/>
      <c r="T33" s="198"/>
      <c r="U33" s="198"/>
      <c r="V33" s="204"/>
      <c r="W33" s="196">
        <v>1</v>
      </c>
      <c r="X33" s="228" t="s">
        <v>16</v>
      </c>
      <c r="Y33" s="234">
        <v>1200000</v>
      </c>
      <c r="Z33" s="212">
        <v>3077712</v>
      </c>
      <c r="AA33" s="212">
        <v>717120</v>
      </c>
      <c r="AB33" s="170" t="s">
        <v>46</v>
      </c>
      <c r="AC33" s="205">
        <f>AA33</f>
        <v>717120</v>
      </c>
      <c r="AD33" s="223" t="s">
        <v>57</v>
      </c>
      <c r="AE33" s="97">
        <f>AC33/1000*1.03</f>
        <v>738.6336</v>
      </c>
      <c r="AF33" s="131">
        <f>AA33-[1]VerwerkingSTOCKS!$DC$748</f>
        <v>446443</v>
      </c>
      <c r="AG33" s="170" t="s">
        <v>46</v>
      </c>
      <c r="AH33" s="111">
        <f>AF33</f>
        <v>446443</v>
      </c>
      <c r="AI33" s="223" t="s">
        <v>57</v>
      </c>
      <c r="AJ33" s="227">
        <f>AH33/1000*1.03</f>
        <v>459.83629000000002</v>
      </c>
    </row>
    <row r="34" spans="1:36" s="3" customFormat="1" ht="30" x14ac:dyDescent="0.3">
      <c r="A34" s="180"/>
      <c r="B34" s="181"/>
      <c r="C34" s="181"/>
      <c r="D34" s="181"/>
      <c r="E34" s="181"/>
      <c r="F34" s="182"/>
      <c r="G34" s="182"/>
      <c r="H34" s="183"/>
      <c r="I34" s="183"/>
      <c r="J34" s="183"/>
      <c r="K34" s="184"/>
      <c r="L34" s="185"/>
      <c r="M34" s="183"/>
      <c r="N34" s="186"/>
      <c r="O34" s="186"/>
      <c r="P34" s="186"/>
      <c r="Q34" s="186"/>
      <c r="R34" s="186"/>
      <c r="S34" s="187"/>
      <c r="T34" s="187"/>
      <c r="U34" s="187"/>
      <c r="V34" s="184"/>
      <c r="W34" s="84">
        <v>2</v>
      </c>
      <c r="X34" s="229" t="s">
        <v>121</v>
      </c>
      <c r="Y34" s="270"/>
      <c r="Z34" s="241"/>
      <c r="AA34" s="242"/>
      <c r="AB34" s="243"/>
      <c r="AC34" s="242"/>
      <c r="AD34" s="243"/>
      <c r="AE34" s="244"/>
      <c r="AF34" s="248"/>
      <c r="AG34" s="243"/>
      <c r="AH34" s="249"/>
      <c r="AI34" s="249"/>
      <c r="AJ34" s="244"/>
    </row>
    <row r="35" spans="1:36" s="3" customFormat="1" ht="30" x14ac:dyDescent="0.3">
      <c r="A35" s="180"/>
      <c r="B35" s="181"/>
      <c r="C35" s="181"/>
      <c r="D35" s="181"/>
      <c r="E35" s="181"/>
      <c r="F35" s="182"/>
      <c r="G35" s="182"/>
      <c r="H35" s="183"/>
      <c r="I35" s="183"/>
      <c r="J35" s="183"/>
      <c r="K35" s="184"/>
      <c r="L35" s="185"/>
      <c r="M35" s="183"/>
      <c r="N35" s="186"/>
      <c r="O35" s="186"/>
      <c r="P35" s="186"/>
      <c r="Q35" s="186"/>
      <c r="R35" s="186"/>
      <c r="S35" s="187"/>
      <c r="T35" s="187"/>
      <c r="U35" s="187"/>
      <c r="V35" s="184"/>
      <c r="W35" s="84">
        <v>3</v>
      </c>
      <c r="X35" s="229" t="s">
        <v>100</v>
      </c>
      <c r="Y35" s="235">
        <v>673092.06</v>
      </c>
      <c r="Z35" s="79">
        <v>840672</v>
      </c>
      <c r="AA35" s="238">
        <v>0</v>
      </c>
      <c r="AB35" s="250" t="s">
        <v>122</v>
      </c>
      <c r="AC35" s="250">
        <f>AA35*250</f>
        <v>0</v>
      </c>
      <c r="AD35" s="240" t="s">
        <v>58</v>
      </c>
      <c r="AE35" s="251">
        <v>0</v>
      </c>
      <c r="AF35" s="263">
        <v>0</v>
      </c>
      <c r="AG35" s="250" t="s">
        <v>122</v>
      </c>
      <c r="AH35" s="238">
        <v>0</v>
      </c>
      <c r="AI35" s="240" t="s">
        <v>58</v>
      </c>
      <c r="AJ35" s="254">
        <v>0</v>
      </c>
    </row>
    <row r="36" spans="1:36" s="3" customFormat="1" ht="45" x14ac:dyDescent="0.3">
      <c r="A36" s="180"/>
      <c r="B36" s="181"/>
      <c r="C36" s="181"/>
      <c r="D36" s="181"/>
      <c r="E36" s="181"/>
      <c r="F36" s="182"/>
      <c r="G36" s="182"/>
      <c r="H36" s="183"/>
      <c r="I36" s="183"/>
      <c r="J36" s="183"/>
      <c r="K36" s="184"/>
      <c r="L36" s="185"/>
      <c r="M36" s="183"/>
      <c r="N36" s="186"/>
      <c r="O36" s="186"/>
      <c r="P36" s="186"/>
      <c r="Q36" s="186"/>
      <c r="R36" s="186"/>
      <c r="S36" s="187"/>
      <c r="T36" s="187"/>
      <c r="U36" s="187"/>
      <c r="V36" s="184"/>
      <c r="W36" s="84">
        <v>4</v>
      </c>
      <c r="X36" s="229" t="s">
        <v>112</v>
      </c>
      <c r="Y36" s="235">
        <v>480000</v>
      </c>
      <c r="Z36" s="79">
        <v>827586</v>
      </c>
      <c r="AA36" s="79">
        <v>41613</v>
      </c>
      <c r="AB36" s="33" t="s">
        <v>46</v>
      </c>
      <c r="AC36" s="33">
        <f>AA36</f>
        <v>41613</v>
      </c>
      <c r="AD36" s="157" t="s">
        <v>57</v>
      </c>
      <c r="AE36" s="32">
        <f>AC36/1000</f>
        <v>41.613</v>
      </c>
      <c r="AF36" s="131">
        <f>AA36-[1]VerwerkingSTOCKS!$DM$748</f>
        <v>32152</v>
      </c>
      <c r="AG36" s="33" t="s">
        <v>46</v>
      </c>
      <c r="AH36" s="111">
        <f>AF36</f>
        <v>32152</v>
      </c>
      <c r="AI36" s="157" t="s">
        <v>57</v>
      </c>
      <c r="AJ36" s="42">
        <f>AH36/1000</f>
        <v>32.152000000000001</v>
      </c>
    </row>
    <row r="37" spans="1:36" s="3" customFormat="1" ht="30" x14ac:dyDescent="0.3">
      <c r="A37" s="180"/>
      <c r="B37" s="181"/>
      <c r="C37" s="181"/>
      <c r="D37" s="181"/>
      <c r="E37" s="181"/>
      <c r="F37" s="182"/>
      <c r="G37" s="182"/>
      <c r="H37" s="183"/>
      <c r="I37" s="183"/>
      <c r="J37" s="183"/>
      <c r="K37" s="184"/>
      <c r="L37" s="185"/>
      <c r="M37" s="183"/>
      <c r="N37" s="186"/>
      <c r="O37" s="186"/>
      <c r="P37" s="186"/>
      <c r="Q37" s="186"/>
      <c r="R37" s="186"/>
      <c r="S37" s="187"/>
      <c r="T37" s="187"/>
      <c r="U37" s="187"/>
      <c r="V37" s="184"/>
      <c r="W37" s="84">
        <v>5</v>
      </c>
      <c r="X37" s="229" t="s">
        <v>113</v>
      </c>
      <c r="Y37" s="235">
        <v>355049.83</v>
      </c>
      <c r="Z37" s="79">
        <v>991760</v>
      </c>
      <c r="AA37" s="79">
        <v>182960</v>
      </c>
      <c r="AB37" s="41" t="s">
        <v>50</v>
      </c>
      <c r="AC37" s="33">
        <f>AA37*1000</f>
        <v>182960000</v>
      </c>
      <c r="AD37" s="157" t="s">
        <v>58</v>
      </c>
      <c r="AE37" s="32">
        <f>AC37/1000000</f>
        <v>182.96</v>
      </c>
      <c r="AF37" s="131">
        <f>AA37-[1]VerwerkingSTOCKS!$DR$748</f>
        <v>169908</v>
      </c>
      <c r="AG37" s="41" t="s">
        <v>50</v>
      </c>
      <c r="AH37" s="111">
        <f>AF37*1000</f>
        <v>169908000</v>
      </c>
      <c r="AI37" s="157" t="s">
        <v>58</v>
      </c>
      <c r="AJ37" s="42">
        <f>AH37/1000000</f>
        <v>169.90799999999999</v>
      </c>
    </row>
    <row r="38" spans="1:36" s="3" customFormat="1" ht="30" x14ac:dyDescent="0.3">
      <c r="A38" s="180"/>
      <c r="B38" s="181"/>
      <c r="C38" s="181"/>
      <c r="D38" s="181"/>
      <c r="E38" s="181"/>
      <c r="F38" s="182"/>
      <c r="G38" s="182"/>
      <c r="H38" s="183"/>
      <c r="I38" s="183"/>
      <c r="J38" s="183"/>
      <c r="K38" s="184"/>
      <c r="L38" s="185"/>
      <c r="M38" s="183"/>
      <c r="N38" s="186"/>
      <c r="O38" s="186"/>
      <c r="P38" s="186"/>
      <c r="Q38" s="186"/>
      <c r="R38" s="186"/>
      <c r="S38" s="187"/>
      <c r="T38" s="187"/>
      <c r="U38" s="187"/>
      <c r="V38" s="184"/>
      <c r="W38" s="84">
        <v>6</v>
      </c>
      <c r="X38" s="229" t="s">
        <v>120</v>
      </c>
      <c r="Y38" s="235">
        <v>400000</v>
      </c>
      <c r="Z38" s="79">
        <v>567375</v>
      </c>
      <c r="AA38" s="238">
        <v>0</v>
      </c>
      <c r="AB38" s="239" t="s">
        <v>50</v>
      </c>
      <c r="AC38" s="250">
        <v>0</v>
      </c>
      <c r="AD38" s="240" t="s">
        <v>58</v>
      </c>
      <c r="AE38" s="251">
        <v>0</v>
      </c>
      <c r="AF38" s="258">
        <v>0</v>
      </c>
      <c r="AG38" s="239" t="s">
        <v>111</v>
      </c>
      <c r="AH38" s="238">
        <v>0</v>
      </c>
      <c r="AI38" s="240" t="s">
        <v>58</v>
      </c>
      <c r="AJ38" s="254">
        <v>0</v>
      </c>
    </row>
    <row r="39" spans="1:36" s="3" customFormat="1" ht="30" x14ac:dyDescent="0.3">
      <c r="A39" s="180"/>
      <c r="B39" s="181"/>
      <c r="C39" s="181"/>
      <c r="D39" s="181"/>
      <c r="E39" s="181"/>
      <c r="F39" s="182"/>
      <c r="G39" s="182"/>
      <c r="H39" s="183"/>
      <c r="I39" s="183"/>
      <c r="J39" s="183"/>
      <c r="K39" s="184"/>
      <c r="L39" s="185"/>
      <c r="M39" s="183"/>
      <c r="N39" s="186"/>
      <c r="O39" s="186"/>
      <c r="P39" s="186"/>
      <c r="Q39" s="186"/>
      <c r="R39" s="186"/>
      <c r="S39" s="187"/>
      <c r="T39" s="187"/>
      <c r="U39" s="187"/>
      <c r="V39" s="184"/>
      <c r="W39" s="84">
        <v>7</v>
      </c>
      <c r="X39" s="229" t="s">
        <v>101</v>
      </c>
      <c r="Y39" s="235">
        <v>350000</v>
      </c>
      <c r="Z39" s="79">
        <v>555556</v>
      </c>
      <c r="AA39" s="79">
        <v>296076</v>
      </c>
      <c r="AB39" s="41" t="s">
        <v>50</v>
      </c>
      <c r="AC39" s="33">
        <f>AA39*1000</f>
        <v>296076000</v>
      </c>
      <c r="AD39" s="157" t="s">
        <v>58</v>
      </c>
      <c r="AE39" s="32">
        <f t="shared" ref="AE39:AE44" si="8">AC39/1000000</f>
        <v>296.07600000000002</v>
      </c>
      <c r="AF39" s="131">
        <f>AA39-[1]VerwerkingSTOCKS!$DW$748</f>
        <v>210053</v>
      </c>
      <c r="AG39" s="41" t="s">
        <v>50</v>
      </c>
      <c r="AH39" s="111">
        <f>AF39*1000</f>
        <v>210053000</v>
      </c>
      <c r="AI39" s="157" t="s">
        <v>58</v>
      </c>
      <c r="AJ39" s="42">
        <f t="shared" ref="AJ39:AJ44" si="9">AH39/1000000</f>
        <v>210.053</v>
      </c>
    </row>
    <row r="40" spans="1:36" s="3" customFormat="1" ht="30" x14ac:dyDescent="0.3">
      <c r="A40" s="180"/>
      <c r="B40" s="181"/>
      <c r="C40" s="181"/>
      <c r="D40" s="181"/>
      <c r="E40" s="181"/>
      <c r="F40" s="182"/>
      <c r="G40" s="182"/>
      <c r="H40" s="183"/>
      <c r="I40" s="183"/>
      <c r="J40" s="183"/>
      <c r="K40" s="184"/>
      <c r="L40" s="185"/>
      <c r="M40" s="183"/>
      <c r="N40" s="186"/>
      <c r="O40" s="186"/>
      <c r="P40" s="186"/>
      <c r="Q40" s="186"/>
      <c r="R40" s="186"/>
      <c r="S40" s="187"/>
      <c r="T40" s="187"/>
      <c r="U40" s="187"/>
      <c r="V40" s="184"/>
      <c r="W40" s="84">
        <v>8</v>
      </c>
      <c r="X40" s="229" t="s">
        <v>102</v>
      </c>
      <c r="Y40" s="235">
        <v>350000</v>
      </c>
      <c r="Z40" s="79">
        <v>555556</v>
      </c>
      <c r="AA40" s="79">
        <v>16644</v>
      </c>
      <c r="AB40" s="41" t="s">
        <v>50</v>
      </c>
      <c r="AC40" s="33">
        <f>AA40*1000</f>
        <v>16644000</v>
      </c>
      <c r="AD40" s="157" t="s">
        <v>58</v>
      </c>
      <c r="AE40" s="32">
        <f t="shared" si="8"/>
        <v>16.643999999999998</v>
      </c>
      <c r="AF40" s="131">
        <f>AA40-[1]VerwerkingSTOCKS!$EB$748</f>
        <v>5647</v>
      </c>
      <c r="AG40" s="41" t="s">
        <v>50</v>
      </c>
      <c r="AH40" s="111">
        <f>AF40*1000</f>
        <v>5647000</v>
      </c>
      <c r="AI40" s="157" t="s">
        <v>58</v>
      </c>
      <c r="AJ40" s="42">
        <f t="shared" si="9"/>
        <v>5.6470000000000002</v>
      </c>
    </row>
    <row r="41" spans="1:36" s="3" customFormat="1" ht="30" x14ac:dyDescent="0.3">
      <c r="A41" s="180"/>
      <c r="B41" s="181"/>
      <c r="C41" s="181"/>
      <c r="D41" s="181"/>
      <c r="E41" s="181"/>
      <c r="F41" s="182"/>
      <c r="G41" s="182"/>
      <c r="H41" s="183"/>
      <c r="I41" s="183"/>
      <c r="J41" s="183"/>
      <c r="K41" s="184"/>
      <c r="L41" s="185"/>
      <c r="M41" s="183"/>
      <c r="N41" s="186"/>
      <c r="O41" s="186"/>
      <c r="P41" s="186"/>
      <c r="Q41" s="186"/>
      <c r="R41" s="186"/>
      <c r="S41" s="187"/>
      <c r="T41" s="187"/>
      <c r="U41" s="187"/>
      <c r="V41" s="184"/>
      <c r="W41" s="84">
        <v>9</v>
      </c>
      <c r="X41" s="229" t="s">
        <v>103</v>
      </c>
      <c r="Y41" s="235">
        <v>350000</v>
      </c>
      <c r="Z41" s="79">
        <v>534106</v>
      </c>
      <c r="AA41" s="79">
        <v>192960</v>
      </c>
      <c r="AB41" s="41" t="s">
        <v>50</v>
      </c>
      <c r="AC41" s="33">
        <f>AA41*1000</f>
        <v>192960000</v>
      </c>
      <c r="AD41" s="157" t="s">
        <v>58</v>
      </c>
      <c r="AE41" s="32">
        <f t="shared" si="8"/>
        <v>192.96</v>
      </c>
      <c r="AF41" s="131">
        <f>AA41-[1]VerwerkingSTOCKS!$EG$748</f>
        <v>186407</v>
      </c>
      <c r="AG41" s="41" t="s">
        <v>50</v>
      </c>
      <c r="AH41" s="111">
        <f>AF41*1000</f>
        <v>186407000</v>
      </c>
      <c r="AI41" s="157" t="s">
        <v>58</v>
      </c>
      <c r="AJ41" s="42">
        <f t="shared" si="9"/>
        <v>186.40700000000001</v>
      </c>
    </row>
    <row r="42" spans="1:36" s="3" customFormat="1" ht="30" x14ac:dyDescent="0.3">
      <c r="A42" s="180"/>
      <c r="B42" s="181"/>
      <c r="C42" s="181"/>
      <c r="D42" s="181"/>
      <c r="E42" s="181"/>
      <c r="F42" s="182"/>
      <c r="G42" s="182"/>
      <c r="H42" s="183"/>
      <c r="I42" s="183"/>
      <c r="J42" s="183"/>
      <c r="K42" s="184"/>
      <c r="L42" s="185"/>
      <c r="M42" s="183"/>
      <c r="N42" s="186"/>
      <c r="O42" s="186"/>
      <c r="P42" s="186"/>
      <c r="Q42" s="186"/>
      <c r="R42" s="186"/>
      <c r="S42" s="187"/>
      <c r="T42" s="187"/>
      <c r="U42" s="187"/>
      <c r="V42" s="184"/>
      <c r="W42" s="84">
        <v>10</v>
      </c>
      <c r="X42" s="105" t="s">
        <v>20</v>
      </c>
      <c r="Y42" s="235">
        <v>400000</v>
      </c>
      <c r="Z42" s="79">
        <v>1459854</v>
      </c>
      <c r="AA42" s="79">
        <v>151984</v>
      </c>
      <c r="AB42" s="41" t="s">
        <v>52</v>
      </c>
      <c r="AC42" s="33">
        <f>AA42*400</f>
        <v>60793600</v>
      </c>
      <c r="AD42" s="157" t="s">
        <v>58</v>
      </c>
      <c r="AE42" s="32">
        <f t="shared" si="8"/>
        <v>60.793599999999998</v>
      </c>
      <c r="AF42" s="131">
        <f>AA42-[1]VerwerkingSTOCKS!$EL$748</f>
        <v>122113</v>
      </c>
      <c r="AG42" s="41" t="s">
        <v>52</v>
      </c>
      <c r="AH42" s="111">
        <f>AF42*400</f>
        <v>48845200</v>
      </c>
      <c r="AI42" s="157" t="s">
        <v>58</v>
      </c>
      <c r="AJ42" s="42">
        <f t="shared" si="9"/>
        <v>48.845199999999998</v>
      </c>
    </row>
    <row r="43" spans="1:36" s="3" customFormat="1" ht="30" x14ac:dyDescent="0.3">
      <c r="A43" s="180"/>
      <c r="B43" s="181"/>
      <c r="C43" s="181"/>
      <c r="D43" s="181"/>
      <c r="E43" s="181"/>
      <c r="F43" s="182"/>
      <c r="G43" s="182"/>
      <c r="H43" s="183"/>
      <c r="I43" s="183"/>
      <c r="J43" s="183"/>
      <c r="K43" s="184"/>
      <c r="L43" s="185"/>
      <c r="M43" s="183"/>
      <c r="N43" s="186"/>
      <c r="O43" s="186"/>
      <c r="P43" s="186"/>
      <c r="Q43" s="186"/>
      <c r="R43" s="186"/>
      <c r="S43" s="187"/>
      <c r="T43" s="187"/>
      <c r="U43" s="187"/>
      <c r="V43" s="184"/>
      <c r="W43" s="84">
        <v>11</v>
      </c>
      <c r="X43" s="83" t="s">
        <v>41</v>
      </c>
      <c r="Y43" s="235">
        <v>450000</v>
      </c>
      <c r="Z43" s="79">
        <v>1203534</v>
      </c>
      <c r="AA43" s="79">
        <v>50112</v>
      </c>
      <c r="AB43" s="41" t="s">
        <v>52</v>
      </c>
      <c r="AC43" s="33">
        <f>AA43*400</f>
        <v>20044800</v>
      </c>
      <c r="AD43" s="157" t="s">
        <v>58</v>
      </c>
      <c r="AE43" s="32">
        <f t="shared" si="8"/>
        <v>20.044799999999999</v>
      </c>
      <c r="AF43" s="131">
        <f>AA43-[1]VerwerkingSTOCKS!$EQ$748</f>
        <v>19393</v>
      </c>
      <c r="AG43" s="41" t="s">
        <v>52</v>
      </c>
      <c r="AH43" s="111">
        <f>AF43*400</f>
        <v>7757200</v>
      </c>
      <c r="AI43" s="157" t="s">
        <v>58</v>
      </c>
      <c r="AJ43" s="42">
        <f t="shared" si="9"/>
        <v>7.7572000000000001</v>
      </c>
    </row>
    <row r="44" spans="1:36" s="3" customFormat="1" ht="30" x14ac:dyDescent="0.3">
      <c r="A44" s="180"/>
      <c r="B44" s="181"/>
      <c r="C44" s="181"/>
      <c r="D44" s="181"/>
      <c r="E44" s="181"/>
      <c r="F44" s="182"/>
      <c r="G44" s="182"/>
      <c r="H44" s="183"/>
      <c r="I44" s="183"/>
      <c r="J44" s="183"/>
      <c r="K44" s="184"/>
      <c r="L44" s="185"/>
      <c r="M44" s="183"/>
      <c r="N44" s="186"/>
      <c r="O44" s="186"/>
      <c r="P44" s="186"/>
      <c r="Q44" s="186"/>
      <c r="R44" s="186"/>
      <c r="S44" s="187"/>
      <c r="T44" s="187"/>
      <c r="U44" s="187"/>
      <c r="V44" s="184"/>
      <c r="W44" s="84">
        <v>12</v>
      </c>
      <c r="X44" s="229" t="s">
        <v>114</v>
      </c>
      <c r="Y44" s="235">
        <v>263181</v>
      </c>
      <c r="Z44" s="79">
        <v>718097</v>
      </c>
      <c r="AA44" s="79">
        <v>50112</v>
      </c>
      <c r="AB44" s="41" t="s">
        <v>52</v>
      </c>
      <c r="AC44" s="33">
        <f>AA44*400</f>
        <v>20044800</v>
      </c>
      <c r="AD44" s="157" t="s">
        <v>58</v>
      </c>
      <c r="AE44" s="32">
        <f t="shared" si="8"/>
        <v>20.044799999999999</v>
      </c>
      <c r="AF44" s="131">
        <f>AA44-[1]VerwerkingSTOCKS!$EV$748</f>
        <v>43505</v>
      </c>
      <c r="AG44" s="41" t="s">
        <v>52</v>
      </c>
      <c r="AH44" s="111">
        <f>AF44*400</f>
        <v>17402000</v>
      </c>
      <c r="AI44" s="157" t="s">
        <v>58</v>
      </c>
      <c r="AJ44" s="42">
        <f t="shared" si="9"/>
        <v>17.402000000000001</v>
      </c>
    </row>
    <row r="45" spans="1:36" s="3" customFormat="1" ht="30" x14ac:dyDescent="0.3">
      <c r="A45" s="180"/>
      <c r="B45" s="181"/>
      <c r="C45" s="181"/>
      <c r="D45" s="181"/>
      <c r="E45" s="181"/>
      <c r="F45" s="182"/>
      <c r="G45" s="182"/>
      <c r="H45" s="183"/>
      <c r="I45" s="183"/>
      <c r="J45" s="183"/>
      <c r="K45" s="184"/>
      <c r="L45" s="185"/>
      <c r="M45" s="183"/>
      <c r="N45" s="186"/>
      <c r="O45" s="186"/>
      <c r="P45" s="186"/>
      <c r="Q45" s="186"/>
      <c r="R45" s="186"/>
      <c r="S45" s="187"/>
      <c r="T45" s="187"/>
      <c r="U45" s="187"/>
      <c r="V45" s="184"/>
      <c r="W45" s="84">
        <v>13</v>
      </c>
      <c r="X45" s="229" t="s">
        <v>106</v>
      </c>
      <c r="Y45" s="235">
        <v>263180.99</v>
      </c>
      <c r="Z45" s="79">
        <v>831935</v>
      </c>
      <c r="AA45" s="238">
        <v>0</v>
      </c>
      <c r="AB45" s="239" t="s">
        <v>49</v>
      </c>
      <c r="AC45" s="250">
        <f>AA45*420</f>
        <v>0</v>
      </c>
      <c r="AD45" s="240" t="s">
        <v>58</v>
      </c>
      <c r="AE45" s="251">
        <v>0</v>
      </c>
      <c r="AF45" s="262">
        <v>0</v>
      </c>
      <c r="AG45" s="239" t="s">
        <v>49</v>
      </c>
      <c r="AH45" s="238">
        <v>0</v>
      </c>
      <c r="AI45" s="240" t="s">
        <v>58</v>
      </c>
      <c r="AJ45" s="254">
        <v>0</v>
      </c>
    </row>
    <row r="46" spans="1:36" s="3" customFormat="1" ht="30" x14ac:dyDescent="0.3">
      <c r="A46" s="180"/>
      <c r="B46" s="181"/>
      <c r="C46" s="181"/>
      <c r="D46" s="181"/>
      <c r="E46" s="181"/>
      <c r="F46" s="182"/>
      <c r="G46" s="182"/>
      <c r="H46" s="183"/>
      <c r="I46" s="183"/>
      <c r="J46" s="183"/>
      <c r="K46" s="184"/>
      <c r="L46" s="185"/>
      <c r="M46" s="183"/>
      <c r="N46" s="186"/>
      <c r="O46" s="186"/>
      <c r="P46" s="186"/>
      <c r="Q46" s="186"/>
      <c r="R46" s="186"/>
      <c r="S46" s="187"/>
      <c r="T46" s="187"/>
      <c r="U46" s="187"/>
      <c r="V46" s="184"/>
      <c r="W46" s="84">
        <v>14</v>
      </c>
      <c r="X46" s="229" t="s">
        <v>115</v>
      </c>
      <c r="Y46" s="270"/>
      <c r="Z46" s="245"/>
      <c r="AA46" s="243"/>
      <c r="AB46" s="243"/>
      <c r="AC46" s="243"/>
      <c r="AD46" s="243"/>
      <c r="AE46" s="244"/>
      <c r="AF46" s="248"/>
      <c r="AG46" s="243"/>
      <c r="AH46" s="249"/>
      <c r="AI46" s="249"/>
      <c r="AJ46" s="244"/>
    </row>
    <row r="47" spans="1:36" s="3" customFormat="1" ht="30" x14ac:dyDescent="0.3">
      <c r="A47" s="180"/>
      <c r="B47" s="181"/>
      <c r="C47" s="181"/>
      <c r="D47" s="181"/>
      <c r="E47" s="181"/>
      <c r="F47" s="182"/>
      <c r="G47" s="182"/>
      <c r="H47" s="183"/>
      <c r="I47" s="183"/>
      <c r="J47" s="183"/>
      <c r="K47" s="184"/>
      <c r="L47" s="185"/>
      <c r="M47" s="183"/>
      <c r="N47" s="186"/>
      <c r="O47" s="186"/>
      <c r="P47" s="186"/>
      <c r="Q47" s="186"/>
      <c r="R47" s="186"/>
      <c r="S47" s="187"/>
      <c r="T47" s="187"/>
      <c r="U47" s="187"/>
      <c r="V47" s="184"/>
      <c r="W47" s="84">
        <v>15</v>
      </c>
      <c r="X47" s="229" t="s">
        <v>42</v>
      </c>
      <c r="Y47" s="235">
        <v>700000</v>
      </c>
      <c r="Z47" s="79">
        <v>1616628</v>
      </c>
      <c r="AA47" s="79">
        <v>1140480</v>
      </c>
      <c r="AB47" s="41" t="s">
        <v>62</v>
      </c>
      <c r="AC47" s="33">
        <f>AA47*140</f>
        <v>159667200</v>
      </c>
      <c r="AD47" s="157" t="s">
        <v>58</v>
      </c>
      <c r="AE47" s="32">
        <f>AC47/1000000</f>
        <v>159.66720000000001</v>
      </c>
      <c r="AF47" s="131">
        <f>AA47-[1]VerwerkingSTOCKS!$FF$748</f>
        <v>664272</v>
      </c>
      <c r="AG47" s="259" t="s">
        <v>62</v>
      </c>
      <c r="AH47" s="111">
        <f>AF47*140</f>
        <v>92998080</v>
      </c>
      <c r="AI47" s="157" t="s">
        <v>58</v>
      </c>
      <c r="AJ47" s="42">
        <f>AH47/1000000</f>
        <v>92.998080000000002</v>
      </c>
    </row>
    <row r="48" spans="1:36" s="3" customFormat="1" ht="30" x14ac:dyDescent="0.3">
      <c r="A48" s="180"/>
      <c r="B48" s="181"/>
      <c r="C48" s="181"/>
      <c r="D48" s="181"/>
      <c r="E48" s="181"/>
      <c r="F48" s="182"/>
      <c r="G48" s="182"/>
      <c r="H48" s="183"/>
      <c r="I48" s="183"/>
      <c r="J48" s="183"/>
      <c r="K48" s="184"/>
      <c r="L48" s="185"/>
      <c r="M48" s="183"/>
      <c r="N48" s="186"/>
      <c r="O48" s="186"/>
      <c r="P48" s="186"/>
      <c r="Q48" s="186"/>
      <c r="R48" s="186"/>
      <c r="S48" s="187"/>
      <c r="T48" s="187"/>
      <c r="U48" s="187"/>
      <c r="V48" s="184"/>
      <c r="W48" s="84">
        <v>16</v>
      </c>
      <c r="X48" s="83" t="s">
        <v>44</v>
      </c>
      <c r="Y48" s="235">
        <v>450000</v>
      </c>
      <c r="Z48" s="79">
        <v>652790</v>
      </c>
      <c r="AA48" s="238">
        <v>0</v>
      </c>
      <c r="AB48" s="239" t="s">
        <v>123</v>
      </c>
      <c r="AC48" s="250">
        <v>0</v>
      </c>
      <c r="AD48" s="240" t="s">
        <v>58</v>
      </c>
      <c r="AE48" s="251">
        <v>0</v>
      </c>
      <c r="AF48" s="262">
        <v>0</v>
      </c>
      <c r="AG48" s="260" t="s">
        <v>123</v>
      </c>
      <c r="AH48" s="238">
        <v>0</v>
      </c>
      <c r="AI48" s="240" t="s">
        <v>58</v>
      </c>
      <c r="AJ48" s="254">
        <v>0</v>
      </c>
    </row>
    <row r="49" spans="1:36" s="3" customFormat="1" ht="30" x14ac:dyDescent="0.3">
      <c r="A49" s="180"/>
      <c r="B49" s="181"/>
      <c r="C49" s="181"/>
      <c r="D49" s="181"/>
      <c r="E49" s="181"/>
      <c r="F49" s="182"/>
      <c r="G49" s="182"/>
      <c r="H49" s="183"/>
      <c r="I49" s="183"/>
      <c r="J49" s="183"/>
      <c r="K49" s="184"/>
      <c r="L49" s="185"/>
      <c r="M49" s="183"/>
      <c r="N49" s="186"/>
      <c r="O49" s="186"/>
      <c r="P49" s="186"/>
      <c r="Q49" s="186"/>
      <c r="R49" s="186"/>
      <c r="S49" s="187"/>
      <c r="T49" s="187"/>
      <c r="U49" s="187"/>
      <c r="V49" s="184"/>
      <c r="W49" s="84">
        <v>17</v>
      </c>
      <c r="X49" s="229" t="s">
        <v>116</v>
      </c>
      <c r="Y49" s="235">
        <v>1290873.24</v>
      </c>
      <c r="Z49" s="79">
        <v>722270</v>
      </c>
      <c r="AA49" s="79">
        <v>487594</v>
      </c>
      <c r="AB49" s="33" t="s">
        <v>46</v>
      </c>
      <c r="AC49" s="33">
        <f>AA49</f>
        <v>487594</v>
      </c>
      <c r="AD49" s="157" t="s">
        <v>57</v>
      </c>
      <c r="AE49" s="32">
        <f>AC49/1000*0.92</f>
        <v>448.58647999999999</v>
      </c>
      <c r="AF49" s="131">
        <f>AA49-[1]VerwerkingSTOCKS!$FK$748</f>
        <v>323286</v>
      </c>
      <c r="AG49" s="261" t="s">
        <v>46</v>
      </c>
      <c r="AH49" s="111">
        <f>AF49</f>
        <v>323286</v>
      </c>
      <c r="AI49" s="157" t="s">
        <v>57</v>
      </c>
      <c r="AJ49" s="42">
        <f>AH49/1000*0.92</f>
        <v>297.42312000000004</v>
      </c>
    </row>
    <row r="50" spans="1:36" s="3" customFormat="1" ht="30" x14ac:dyDescent="0.3">
      <c r="A50" s="180"/>
      <c r="B50" s="181"/>
      <c r="C50" s="181"/>
      <c r="D50" s="181"/>
      <c r="E50" s="181"/>
      <c r="F50" s="182"/>
      <c r="G50" s="182"/>
      <c r="H50" s="183"/>
      <c r="I50" s="183"/>
      <c r="J50" s="183"/>
      <c r="K50" s="184"/>
      <c r="L50" s="185"/>
      <c r="M50" s="183"/>
      <c r="N50" s="186"/>
      <c r="O50" s="186"/>
      <c r="P50" s="186"/>
      <c r="Q50" s="186"/>
      <c r="R50" s="186"/>
      <c r="S50" s="187"/>
      <c r="T50" s="187"/>
      <c r="U50" s="187"/>
      <c r="V50" s="184"/>
      <c r="W50" s="84">
        <v>18</v>
      </c>
      <c r="X50" s="229" t="s">
        <v>117</v>
      </c>
      <c r="Y50" s="235">
        <v>374876.97</v>
      </c>
      <c r="Z50" s="79">
        <v>851993</v>
      </c>
      <c r="AA50" s="238">
        <v>0</v>
      </c>
      <c r="AB50" s="239" t="s">
        <v>124</v>
      </c>
      <c r="AC50" s="250">
        <v>0</v>
      </c>
      <c r="AD50" s="240" t="s">
        <v>58</v>
      </c>
      <c r="AE50" s="251">
        <v>0</v>
      </c>
      <c r="AF50" s="262">
        <v>0</v>
      </c>
      <c r="AG50" s="260" t="s">
        <v>124</v>
      </c>
      <c r="AH50" s="238">
        <v>0</v>
      </c>
      <c r="AI50" s="240" t="s">
        <v>58</v>
      </c>
      <c r="AJ50" s="254">
        <v>0</v>
      </c>
    </row>
    <row r="51" spans="1:36" s="3" customFormat="1" ht="30" x14ac:dyDescent="0.3">
      <c r="A51" s="180"/>
      <c r="B51" s="181"/>
      <c r="C51" s="181"/>
      <c r="D51" s="181"/>
      <c r="E51" s="181"/>
      <c r="F51" s="182"/>
      <c r="G51" s="182"/>
      <c r="H51" s="183"/>
      <c r="I51" s="183"/>
      <c r="J51" s="183"/>
      <c r="K51" s="184"/>
      <c r="L51" s="185"/>
      <c r="M51" s="183"/>
      <c r="N51" s="186"/>
      <c r="O51" s="186"/>
      <c r="P51" s="186"/>
      <c r="Q51" s="186"/>
      <c r="R51" s="186"/>
      <c r="S51" s="187"/>
      <c r="T51" s="187"/>
      <c r="U51" s="187"/>
      <c r="V51" s="184"/>
      <c r="W51" s="84">
        <v>19</v>
      </c>
      <c r="X51" s="229" t="s">
        <v>118</v>
      </c>
      <c r="Y51" s="235">
        <v>626362</v>
      </c>
      <c r="Z51" s="79">
        <v>1486736</v>
      </c>
      <c r="AA51" s="79">
        <v>1486100</v>
      </c>
      <c r="AB51" s="41" t="s">
        <v>111</v>
      </c>
      <c r="AC51" s="33">
        <f>AA51*100</f>
        <v>148610000</v>
      </c>
      <c r="AD51" s="157" t="s">
        <v>58</v>
      </c>
      <c r="AE51" s="32">
        <f>AC51/1000000</f>
        <v>148.61000000000001</v>
      </c>
      <c r="AF51" s="131">
        <f>AA51-[1]VerwerkingSTOCKS!$FP$748</f>
        <v>1270037</v>
      </c>
      <c r="AG51" s="259" t="s">
        <v>111</v>
      </c>
      <c r="AH51" s="111">
        <f>AF51*100</f>
        <v>127003700</v>
      </c>
      <c r="AI51" s="157" t="s">
        <v>58</v>
      </c>
      <c r="AJ51" s="42">
        <f>AH51/1000000</f>
        <v>127.00369999999999</v>
      </c>
    </row>
    <row r="52" spans="1:36" s="3" customFormat="1" ht="30" x14ac:dyDescent="0.3">
      <c r="A52" s="180"/>
      <c r="B52" s="181"/>
      <c r="C52" s="181"/>
      <c r="D52" s="181"/>
      <c r="E52" s="181"/>
      <c r="F52" s="182"/>
      <c r="G52" s="182"/>
      <c r="H52" s="183"/>
      <c r="I52" s="183"/>
      <c r="J52" s="183"/>
      <c r="K52" s="184"/>
      <c r="L52" s="185"/>
      <c r="M52" s="183"/>
      <c r="N52" s="186"/>
      <c r="O52" s="186"/>
      <c r="P52" s="186"/>
      <c r="Q52" s="186"/>
      <c r="R52" s="186"/>
      <c r="S52" s="187"/>
      <c r="T52" s="187"/>
      <c r="U52" s="187"/>
      <c r="V52" s="184"/>
      <c r="W52" s="84">
        <v>20</v>
      </c>
      <c r="X52" s="229" t="s">
        <v>119</v>
      </c>
      <c r="Y52" s="235">
        <v>607308.43000000005</v>
      </c>
      <c r="Z52" s="79">
        <v>629988</v>
      </c>
      <c r="AA52" s="79">
        <v>48672</v>
      </c>
      <c r="AB52" s="41" t="s">
        <v>52</v>
      </c>
      <c r="AC52" s="33">
        <f>AA52*400</f>
        <v>19468800</v>
      </c>
      <c r="AD52" s="157" t="s">
        <v>58</v>
      </c>
      <c r="AE52" s="32">
        <f>AC52/1000000</f>
        <v>19.468800000000002</v>
      </c>
      <c r="AF52" s="131">
        <f>AA52-[1]VerwerkingSTOCKS!$FU$748</f>
        <v>43727</v>
      </c>
      <c r="AG52" s="259" t="s">
        <v>52</v>
      </c>
      <c r="AH52" s="111">
        <f>AF52*400</f>
        <v>17490800</v>
      </c>
      <c r="AI52" s="157" t="s">
        <v>58</v>
      </c>
      <c r="AJ52" s="42">
        <f>AH52/1000000</f>
        <v>17.4908</v>
      </c>
    </row>
    <row r="53" spans="1:36" s="3" customFormat="1" ht="30.75" thickBot="1" x14ac:dyDescent="0.35">
      <c r="A53" s="188"/>
      <c r="B53" s="189"/>
      <c r="C53" s="189"/>
      <c r="D53" s="189"/>
      <c r="E53" s="189"/>
      <c r="F53" s="190"/>
      <c r="G53" s="190"/>
      <c r="H53" s="191"/>
      <c r="I53" s="191"/>
      <c r="J53" s="191"/>
      <c r="K53" s="192"/>
      <c r="L53" s="193"/>
      <c r="M53" s="191"/>
      <c r="N53" s="194"/>
      <c r="O53" s="194"/>
      <c r="P53" s="194"/>
      <c r="Q53" s="194"/>
      <c r="R53" s="194"/>
      <c r="S53" s="195"/>
      <c r="T53" s="195"/>
      <c r="U53" s="195"/>
      <c r="V53" s="192"/>
      <c r="W53" s="60">
        <v>21</v>
      </c>
      <c r="X53" s="230" t="s">
        <v>45</v>
      </c>
      <c r="Y53" s="236">
        <v>484000</v>
      </c>
      <c r="Z53" s="172">
        <v>741120</v>
      </c>
      <c r="AA53" s="253">
        <v>0</v>
      </c>
      <c r="AB53" s="246" t="s">
        <v>51</v>
      </c>
      <c r="AC53" s="246">
        <v>0</v>
      </c>
      <c r="AD53" s="247" t="s">
        <v>58</v>
      </c>
      <c r="AE53" s="252">
        <v>0</v>
      </c>
      <c r="AF53" s="257">
        <v>0</v>
      </c>
      <c r="AG53" s="256" t="s">
        <v>51</v>
      </c>
      <c r="AH53" s="253">
        <v>0</v>
      </c>
      <c r="AI53" s="247" t="s">
        <v>58</v>
      </c>
      <c r="AJ53" s="255">
        <v>0</v>
      </c>
    </row>
    <row r="54" spans="1:36" s="3" customFormat="1" ht="19.5" thickBot="1" x14ac:dyDescent="0.35">
      <c r="A54" s="147"/>
      <c r="B54" s="147"/>
      <c r="C54" s="147"/>
      <c r="D54" s="147"/>
      <c r="E54" s="147"/>
      <c r="F54" s="148"/>
      <c r="G54" s="148"/>
      <c r="H54" s="149"/>
      <c r="I54" s="149"/>
      <c r="J54" s="149"/>
      <c r="K54" s="150"/>
      <c r="L54" s="149"/>
      <c r="M54" s="149"/>
      <c r="N54" s="151"/>
      <c r="O54" s="151"/>
      <c r="P54" s="151"/>
      <c r="Q54" s="151"/>
      <c r="R54" s="151"/>
      <c r="S54" s="152"/>
      <c r="T54" s="152"/>
      <c r="U54" s="152"/>
      <c r="V54" s="237">
        <f>SUM(V18:V32)</f>
        <v>6335.2566350000006</v>
      </c>
      <c r="W54" s="174"/>
      <c r="X54" s="150"/>
      <c r="Y54" s="269">
        <f>SUM(Y33:Y53)</f>
        <v>10067924.52</v>
      </c>
      <c r="Z54" s="150"/>
      <c r="AA54" s="150"/>
      <c r="AB54" s="150"/>
      <c r="AC54" s="150"/>
      <c r="AD54" s="150"/>
      <c r="AE54" s="237">
        <f>SUM(AE33:AE53)</f>
        <v>2346.1022800000001</v>
      </c>
      <c r="AF54" s="148"/>
      <c r="AG54" s="152"/>
      <c r="AH54" s="152"/>
      <c r="AI54" s="152"/>
      <c r="AJ54" s="237">
        <f>SUM(AJ4:AJ53)</f>
        <v>6537.8178616941477</v>
      </c>
    </row>
    <row r="55" spans="1:36" s="3" customFormat="1" ht="18.75" x14ac:dyDescent="0.3">
      <c r="A55" s="147"/>
      <c r="B55" s="147"/>
      <c r="C55" s="147"/>
      <c r="D55" s="147"/>
      <c r="E55" s="147"/>
      <c r="F55" s="148"/>
      <c r="G55" s="148"/>
      <c r="H55" s="149"/>
      <c r="I55" s="149"/>
      <c r="J55" s="149"/>
      <c r="K55" s="150"/>
      <c r="L55" s="149"/>
      <c r="M55" s="149"/>
      <c r="N55" s="151"/>
      <c r="O55" s="151"/>
      <c r="P55" s="151"/>
      <c r="Q55" s="151"/>
      <c r="R55" s="151"/>
      <c r="S55" s="152"/>
      <c r="T55" s="152"/>
      <c r="U55" s="152"/>
      <c r="V55" s="150"/>
      <c r="W55" s="174"/>
      <c r="X55" s="150"/>
      <c r="Y55" s="150"/>
      <c r="Z55" s="150"/>
      <c r="AA55" s="150"/>
      <c r="AB55" s="150"/>
      <c r="AC55" s="150"/>
      <c r="AD55" s="150"/>
      <c r="AE55" s="150"/>
      <c r="AF55" s="148"/>
      <c r="AG55" s="152"/>
      <c r="AH55" s="152"/>
      <c r="AI55" s="152"/>
      <c r="AJ55" s="150"/>
    </row>
    <row r="56" spans="1:36" s="14" customFormat="1" ht="15.75" thickBot="1" x14ac:dyDescent="0.3">
      <c r="C56" s="102"/>
      <c r="D56" s="102"/>
      <c r="E56" s="102"/>
      <c r="G56" s="102"/>
      <c r="O56" s="102"/>
      <c r="P56" s="102"/>
      <c r="Q56" s="102"/>
      <c r="R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5"/>
    </row>
    <row r="57" spans="1:36" ht="32.25" thickBot="1" x14ac:dyDescent="0.3">
      <c r="B57" s="11" t="s">
        <v>28</v>
      </c>
      <c r="C57" s="12" t="s">
        <v>73</v>
      </c>
      <c r="D57" s="103" t="s">
        <v>74</v>
      </c>
      <c r="E57" s="13" t="s">
        <v>99</v>
      </c>
      <c r="F57" s="13" t="s">
        <v>27</v>
      </c>
      <c r="I57" s="100"/>
      <c r="J57"/>
      <c r="K57"/>
      <c r="L57"/>
      <c r="M57"/>
      <c r="R57"/>
      <c r="AF57"/>
    </row>
    <row r="58" spans="1:36" ht="30" x14ac:dyDescent="0.25">
      <c r="B58" s="21" t="s">
        <v>29</v>
      </c>
      <c r="C58" s="6">
        <v>1</v>
      </c>
      <c r="D58" s="24" t="s">
        <v>80</v>
      </c>
      <c r="E58" s="264" t="s">
        <v>127</v>
      </c>
      <c r="F58" s="7">
        <f>AJ4+AJ18+AJ26+AJ33+AJ47</f>
        <v>1815.7285498719409</v>
      </c>
      <c r="I58" s="99"/>
      <c r="J58"/>
      <c r="K58"/>
      <c r="L58"/>
      <c r="M58"/>
      <c r="R58"/>
      <c r="AC58" s="268"/>
      <c r="AF58"/>
    </row>
    <row r="59" spans="1:36" ht="30" x14ac:dyDescent="0.25">
      <c r="B59" s="22" t="s">
        <v>36</v>
      </c>
      <c r="C59" s="5" t="s">
        <v>75</v>
      </c>
      <c r="D59" s="25" t="s">
        <v>79</v>
      </c>
      <c r="E59" s="265"/>
      <c r="F59" s="8">
        <f>AJ5+AJ6+AJ7+AJ21+AJ19</f>
        <v>249.55602668423987</v>
      </c>
      <c r="I59" s="99"/>
      <c r="J59"/>
      <c r="K59"/>
      <c r="L59"/>
      <c r="M59"/>
      <c r="R59"/>
      <c r="AF59"/>
    </row>
    <row r="60" spans="1:36" ht="60" x14ac:dyDescent="0.25">
      <c r="B60" s="22" t="s">
        <v>33</v>
      </c>
      <c r="C60" s="5" t="s">
        <v>78</v>
      </c>
      <c r="D60" s="25" t="s">
        <v>83</v>
      </c>
      <c r="E60" s="265" t="s">
        <v>128</v>
      </c>
      <c r="F60" s="8">
        <f>AJ8+AJ9+AJ16+AJ23+AJ31+AJ37+AJ39+AJ40+AJ41+AJ53+AJ22+AJ30</f>
        <v>2252.1888953906987</v>
      </c>
      <c r="I60" s="99"/>
      <c r="J60"/>
      <c r="K60"/>
      <c r="L60"/>
      <c r="M60"/>
      <c r="R60"/>
      <c r="AF60"/>
    </row>
    <row r="61" spans="1:36" s="101" customFormat="1" ht="30" x14ac:dyDescent="0.25">
      <c r="B61" s="22" t="s">
        <v>125</v>
      </c>
      <c r="C61" s="5"/>
      <c r="D61" s="25"/>
      <c r="E61" s="265">
        <v>6</v>
      </c>
      <c r="F61" s="8">
        <f>AJ38</f>
        <v>0</v>
      </c>
      <c r="G61" s="221"/>
      <c r="I61" s="99"/>
    </row>
    <row r="62" spans="1:36" ht="30" x14ac:dyDescent="0.25">
      <c r="B62" s="22" t="s">
        <v>32</v>
      </c>
      <c r="C62" s="5" t="s">
        <v>76</v>
      </c>
      <c r="D62" s="25" t="s">
        <v>81</v>
      </c>
      <c r="E62" s="265" t="s">
        <v>126</v>
      </c>
      <c r="F62" s="8">
        <f>AJ10+AJ11+AJ12+AJ20+AJ24+AJ25+AJ42+AJ43+AJ44+AJ45+AJ27</f>
        <v>1198.0982773034966</v>
      </c>
      <c r="G62" s="221"/>
      <c r="I62" s="99"/>
      <c r="J62"/>
      <c r="K62"/>
      <c r="L62"/>
      <c r="M62"/>
      <c r="R62"/>
      <c r="AF62"/>
    </row>
    <row r="63" spans="1:36" ht="60" x14ac:dyDescent="0.25">
      <c r="B63" s="22" t="s">
        <v>30</v>
      </c>
      <c r="C63" s="5" t="s">
        <v>77</v>
      </c>
      <c r="D63" s="25" t="s">
        <v>82</v>
      </c>
      <c r="E63" s="265" t="s">
        <v>129</v>
      </c>
      <c r="F63" s="8">
        <f>AJ48+AJ13+AJ15+AJ17+AJ29+AJ35+AJ36+AJ32+AJ50+AJ51+AJ52</f>
        <v>599.54935244377077</v>
      </c>
      <c r="G63" s="221"/>
      <c r="I63" s="99"/>
      <c r="J63"/>
      <c r="K63"/>
      <c r="L63"/>
      <c r="M63"/>
      <c r="R63"/>
      <c r="AF63"/>
    </row>
    <row r="64" spans="1:36" ht="30.75" thickBot="1" x14ac:dyDescent="0.3">
      <c r="B64" s="23" t="s">
        <v>31</v>
      </c>
      <c r="C64" s="9">
        <v>11</v>
      </c>
      <c r="D64" s="26">
        <v>11</v>
      </c>
      <c r="E64" s="266">
        <v>17</v>
      </c>
      <c r="F64" s="10">
        <f>AJ14+AJ28+AJ49</f>
        <v>422.69676000000004</v>
      </c>
      <c r="G64" s="267"/>
      <c r="I64" s="99"/>
      <c r="J64"/>
      <c r="K64"/>
      <c r="L64"/>
      <c r="M64"/>
      <c r="R64"/>
      <c r="AF64"/>
    </row>
    <row r="65" spans="2:32" ht="19.5" thickBot="1" x14ac:dyDescent="0.35">
      <c r="B65" s="69"/>
      <c r="C65" s="70"/>
      <c r="D65" s="71"/>
      <c r="E65" s="197"/>
      <c r="F65" s="74">
        <f>SUM(F58:F64)</f>
        <v>6537.8178616941468</v>
      </c>
      <c r="I65" s="98"/>
      <c r="J65"/>
      <c r="K65"/>
      <c r="L65"/>
      <c r="M65"/>
      <c r="R65"/>
      <c r="AF65"/>
    </row>
    <row r="68" spans="2:32" x14ac:dyDescent="0.25">
      <c r="F68" s="92"/>
      <c r="G68" s="93"/>
      <c r="H68" s="93"/>
      <c r="I68" s="93"/>
    </row>
    <row r="69" spans="2:32" x14ac:dyDescent="0.25">
      <c r="F69" s="92"/>
      <c r="G69" s="93"/>
      <c r="H69" s="93"/>
      <c r="I69" s="93"/>
    </row>
    <row r="70" spans="2:32" x14ac:dyDescent="0.25">
      <c r="F70" s="92"/>
      <c r="G70" s="93"/>
      <c r="H70" s="93"/>
      <c r="I70" s="93"/>
    </row>
    <row r="71" spans="2:32" x14ac:dyDescent="0.25">
      <c r="F71" s="92"/>
      <c r="G71" s="93"/>
      <c r="H71" s="93"/>
      <c r="I71" s="93"/>
    </row>
    <row r="72" spans="2:32" x14ac:dyDescent="0.25">
      <c r="F72" s="92"/>
      <c r="G72" s="93"/>
      <c r="H72" s="93"/>
      <c r="I72" s="93"/>
    </row>
    <row r="73" spans="2:32" x14ac:dyDescent="0.25">
      <c r="F73" s="92"/>
      <c r="G73" s="93"/>
      <c r="H73" s="93"/>
      <c r="I73" s="93"/>
    </row>
    <row r="74" spans="2:32" x14ac:dyDescent="0.25">
      <c r="F74" s="92"/>
      <c r="G74" s="93"/>
      <c r="H74" s="93"/>
      <c r="I74" s="93"/>
    </row>
  </sheetData>
  <mergeCells count="4">
    <mergeCell ref="AF1:AJ1"/>
    <mergeCell ref="A1:K1"/>
    <mergeCell ref="L1:V1"/>
    <mergeCell ref="W1:AE1"/>
  </mergeCells>
  <pageMargins left="0.7" right="0.7" top="0.75" bottom="0.75" header="0.3" footer="0.3"/>
  <pageSetup paperSize="9" orientation="portrait" r:id="rId1"/>
  <ignoredErrors>
    <ignoredError sqref="K14 V28 AJ28 AJ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Bossuyt Nele</dc:creator>
  <cp:lastModifiedBy>Bossuyt Nele</cp:lastModifiedBy>
  <dcterms:created xsi:type="dcterms:W3CDTF">2015-06-17T16:34:12Z</dcterms:created>
  <dcterms:modified xsi:type="dcterms:W3CDTF">2017-10-30T14:11:15Z</dcterms:modified>
</cp:coreProperties>
</file>