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32. FEAD\14. Monitoring et statistiques\1. Annual Implementation Report\AIR 2021\"/>
    </mc:Choice>
  </mc:AlternateContent>
  <xr:revisionPtr revIDLastSave="0" documentId="8_{87FB8E48-B735-4A75-9BAA-66B65205A6F8}" xr6:coauthVersionLast="47" xr6:coauthVersionMax="47" xr10:uidLastSave="{00000000-0000-0000-0000-000000000000}"/>
  <bookViews>
    <workbookView xWindow="-120" yWindow="-120" windowWidth="29040" windowHeight="15840" xr2:uid="{EDAE1734-2270-4FEE-8A37-F28113240C15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3" i="1" l="1"/>
  <c r="T23" i="1" s="1"/>
  <c r="V23" i="1" s="1"/>
  <c r="J43" i="1" s="1"/>
  <c r="R24" i="1"/>
  <c r="T24" i="1" s="1"/>
  <c r="V24" i="1" s="1"/>
  <c r="R28" i="1"/>
  <c r="T28" i="1" s="1"/>
  <c r="V28" i="1" s="1"/>
  <c r="R31" i="1"/>
  <c r="T31" i="1" s="1"/>
  <c r="V31" i="1" s="1"/>
  <c r="R39" i="1"/>
  <c r="T39" i="1" s="1"/>
  <c r="V39" i="1" s="1"/>
  <c r="R37" i="1"/>
  <c r="T37" i="1" s="1"/>
  <c r="V37" i="1" s="1"/>
  <c r="R38" i="1"/>
  <c r="T38" i="1" s="1"/>
  <c r="V38" i="1" s="1"/>
  <c r="R27" i="1"/>
  <c r="T27" i="1" s="1"/>
  <c r="V27" i="1" s="1"/>
  <c r="R22" i="1"/>
  <c r="T22" i="1" s="1"/>
  <c r="V22" i="1" s="1"/>
  <c r="J42" i="1" s="1"/>
  <c r="R34" i="1"/>
  <c r="T34" i="1" s="1"/>
  <c r="V34" i="1" s="1"/>
  <c r="J48" i="1" s="1"/>
  <c r="R30" i="1"/>
  <c r="T30" i="1" s="1"/>
  <c r="V30" i="1" s="1"/>
  <c r="R32" i="1"/>
  <c r="T32" i="1" s="1"/>
  <c r="V32" i="1" s="1"/>
  <c r="R25" i="1"/>
  <c r="T25" i="1" s="1"/>
  <c r="V25" i="1" s="1"/>
  <c r="R33" i="1"/>
  <c r="T33" i="1" s="1"/>
  <c r="V33" i="1" s="1"/>
  <c r="R36" i="1"/>
  <c r="T36" i="1" s="1"/>
  <c r="V36" i="1" s="1"/>
  <c r="R26" i="1"/>
  <c r="T26" i="1" s="1"/>
  <c r="V26" i="1" s="1"/>
  <c r="R35" i="1"/>
  <c r="T35" i="1" s="1"/>
  <c r="V35" i="1" s="1"/>
  <c r="Q22" i="1"/>
  <c r="Q39" i="1"/>
  <c r="Q38" i="1"/>
  <c r="Q37" i="1"/>
  <c r="Q36" i="1"/>
  <c r="Q35" i="1"/>
  <c r="Q34" i="1"/>
  <c r="Q33" i="1"/>
  <c r="Q32" i="1"/>
  <c r="Q31" i="1"/>
  <c r="Q30" i="1"/>
  <c r="Q28" i="1"/>
  <c r="Q27" i="1"/>
  <c r="Q26" i="1"/>
  <c r="Q25" i="1"/>
  <c r="Q24" i="1"/>
  <c r="Q23" i="1"/>
  <c r="O39" i="1"/>
  <c r="O38" i="1"/>
  <c r="O37" i="1"/>
  <c r="O36" i="1"/>
  <c r="O35" i="1"/>
  <c r="O34" i="1"/>
  <c r="O33" i="1"/>
  <c r="O32" i="1"/>
  <c r="O31" i="1"/>
  <c r="O30" i="1"/>
  <c r="O28" i="1"/>
  <c r="O27" i="1"/>
  <c r="O26" i="1"/>
  <c r="O25" i="1"/>
  <c r="O24" i="1"/>
  <c r="O23" i="1"/>
  <c r="I4" i="1"/>
  <c r="O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E4" i="1"/>
  <c r="J47" i="1" l="1"/>
  <c r="J46" i="1"/>
  <c r="J4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J49" i="1" l="1"/>
  <c r="V12" i="1"/>
  <c r="V10" i="1"/>
  <c r="V16" i="1" l="1"/>
  <c r="V20" i="1"/>
  <c r="V4" i="1"/>
  <c r="V11" i="1"/>
  <c r="V7" i="1"/>
  <c r="V18" i="1"/>
  <c r="V5" i="1"/>
  <c r="V15" i="1"/>
  <c r="V9" i="1"/>
  <c r="V13" i="1"/>
  <c r="V6" i="1"/>
  <c r="V19" i="1"/>
  <c r="V17" i="1"/>
  <c r="V14" i="1"/>
  <c r="V21" i="1"/>
  <c r="V8" i="1"/>
  <c r="V40" i="1" l="1"/>
</calcChain>
</file>

<file path=xl/sharedStrings.xml><?xml version="1.0" encoding="utf-8"?>
<sst xmlns="http://schemas.openxmlformats.org/spreadsheetml/2006/main" count="269" uniqueCount="115">
  <si>
    <t>Lot</t>
  </si>
  <si>
    <t>Produit</t>
  </si>
  <si>
    <t>Emballage unité</t>
  </si>
  <si>
    <t>Unité</t>
  </si>
  <si>
    <t>Conversion en tonnes</t>
  </si>
  <si>
    <t>Perceel</t>
  </si>
  <si>
    <t>Product</t>
  </si>
  <si>
    <t>Verpakking eenheid</t>
  </si>
  <si>
    <t>Eenheid</t>
  </si>
  <si>
    <t>Omzetting naar ton</t>
  </si>
  <si>
    <t>Lait demi-écrémé
Halfvolle melk</t>
  </si>
  <si>
    <t>1l</t>
  </si>
  <si>
    <t>Litre
Liter</t>
  </si>
  <si>
    <t>Sardines à l'huile d'olive
Sardienen in olijfolie</t>
  </si>
  <si>
    <t>125g</t>
  </si>
  <si>
    <t>Gramme
Gram</t>
  </si>
  <si>
    <t>Salade de riz au thon issu de la pêche durable
Rijstsalade met tonijn afkomstig van duurzame visvangst</t>
  </si>
  <si>
    <t>260g</t>
  </si>
  <si>
    <t>Farine de blé
Tarwemeel</t>
  </si>
  <si>
    <t>1000g</t>
  </si>
  <si>
    <t>Café moulu 100% arabica issu du commerce équitable
Gemalen koffie 100% arabica fairtrade</t>
  </si>
  <si>
    <t>250g</t>
  </si>
  <si>
    <t>Pâtes: spaghetti 
Pasta: spaghetti</t>
  </si>
  <si>
    <t>Riz
Rijst</t>
  </si>
  <si>
    <t>Tomates pelées
Gepelde tomaten</t>
  </si>
  <si>
    <t>400g</t>
  </si>
  <si>
    <t>Haricots verts en conserve
Sperziebonen</t>
  </si>
  <si>
    <t>800g</t>
  </si>
  <si>
    <t>Petits pois
Erwten</t>
  </si>
  <si>
    <t>Pois chiches
Kikkererwten</t>
  </si>
  <si>
    <t>Confiture de fraises
Confituur van aardbeien</t>
  </si>
  <si>
    <t>460g</t>
  </si>
  <si>
    <t>Huile d’olive
Olijfolie</t>
  </si>
  <si>
    <t>0,5l</t>
  </si>
  <si>
    <t>Biscuits secs type petits beurre
Droge koekjes type petit beurre</t>
  </si>
  <si>
    <t>200g</t>
  </si>
  <si>
    <t>Chocolat au lait issu du commerce équitable
Fairtrade melkchocolade</t>
  </si>
  <si>
    <t>100g</t>
  </si>
  <si>
    <t>Soupe
Soep</t>
  </si>
  <si>
    <t>Pétales de blé au chocolat
Tarwevlokken met chocolade</t>
  </si>
  <si>
    <t>500g</t>
  </si>
  <si>
    <t>Chili con carne</t>
  </si>
  <si>
    <t>Volume total</t>
  </si>
  <si>
    <t>Totaal volume</t>
  </si>
  <si>
    <t>Hoeveelheden aangekocht aan de basis geleverd in 2019 en 2020</t>
  </si>
  <si>
    <t>Unités résiduelles campagne 2018</t>
  </si>
  <si>
    <t>Resterende eenheden campagne 2018</t>
  </si>
  <si>
    <t>Pâtes: proposition libre
Pasta: vrij voorstel</t>
  </si>
  <si>
    <t>QUANTITES RESIDUELLES CAMPAGNE 2019
RESTERENDE HOEVEELHEDEN CAMPAGNE 2019</t>
  </si>
  <si>
    <t>Unités distribuées</t>
  </si>
  <si>
    <t>Verdeelde 
eenheden</t>
  </si>
  <si>
    <t>Verpakking 
eenheid</t>
  </si>
  <si>
    <t>Omzetting 
naar ton</t>
  </si>
  <si>
    <t>QUANTITES DISTRIBUEES 2020
VERDEELDE HOEVEELHEDEN 2020</t>
  </si>
  <si>
    <t>Lien avec les indicateurs de réalisation
Link met outputindicatoren</t>
  </si>
  <si>
    <t>Lots 2014
Percelen 2014</t>
  </si>
  <si>
    <t>Lots 2015
Percelen 2015</t>
  </si>
  <si>
    <t>Lots 2016
Percelen 2016</t>
  </si>
  <si>
    <t>Lots 2017
Percelen 2017</t>
  </si>
  <si>
    <t>Lots 2018
Percelen 2018</t>
  </si>
  <si>
    <t>Tonnes
Ton</t>
  </si>
  <si>
    <t>Produits laitiers
Zuivelproducten</t>
  </si>
  <si>
    <t>1, 9</t>
  </si>
  <si>
    <t>1, 15</t>
  </si>
  <si>
    <t>1, 14</t>
  </si>
  <si>
    <t>Viandes, œufs, poissons et fruits de mer
Vlees, eieren, vis, schaal- en schelpdieren</t>
  </si>
  <si>
    <t>2, 3, 4</t>
  </si>
  <si>
    <t>2, 4</t>
  </si>
  <si>
    <t>Farine, pain, pommes de terre, riz et autres produits riches en amidon
Meel, brood, aardappelen, rijst en andere zetmeelhoudende producten</t>
  </si>
  <si>
    <t>5, 6, 13</t>
  </si>
  <si>
    <t>5, 6, 13, 14</t>
  </si>
  <si>
    <t>5, 7, 8, 9, 21</t>
  </si>
  <si>
    <t>4, 6, 7, 8, 19</t>
  </si>
  <si>
    <t>4,6,7,8</t>
  </si>
  <si>
    <t>Quantité de sucre
Hoeveelheid suiker</t>
  </si>
  <si>
    <t>Fruits et légumes
Fruit en groeten</t>
  </si>
  <si>
    <t>7 , 8, 9</t>
  </si>
  <si>
    <t>3, 7, 8, 10</t>
  </si>
  <si>
    <t>10, 11, 12, 13</t>
  </si>
  <si>
    <t>9, 10, 11, 12, 13, 20</t>
  </si>
  <si>
    <t>9,10,11,12,13</t>
  </si>
  <si>
    <t>Plats cuisinés, autres denrées alimentaires (qui ne relèvent pas des catégories susmentionnées)
Kant-en-klare levensmiddelen, andere levensmiddelen</t>
  </si>
  <si>
    <t>10, 12, 14</t>
  </si>
  <si>
    <t>12, 15</t>
  </si>
  <si>
    <t>3,4, 16, 18, 19, 20</t>
  </si>
  <si>
    <t>3, 5, 15, 17, 18, 21, 22</t>
  </si>
  <si>
    <t>3,5,15,17,18,19,20</t>
  </si>
  <si>
    <t>Graisses, huiles
Vet, olie</t>
  </si>
  <si>
    <t>Lots 2019
Percelen 2019</t>
  </si>
  <si>
    <t>4, 6, 7</t>
  </si>
  <si>
    <t>13</t>
  </si>
  <si>
    <t>1</t>
  </si>
  <si>
    <t>2</t>
  </si>
  <si>
    <t>8, 9, 10, 11, 16</t>
  </si>
  <si>
    <t>3, 5, 12, 14, 15, 17, 18</t>
  </si>
  <si>
    <t>QUANTITES RESIDUELLES CAMPAGNE 2020
RESTERENDE HOEVEELHEDEN CAMPAGNE 2020</t>
  </si>
  <si>
    <t xml:space="preserve">Unités achétées à la base - livrées en  2019 et 2020 </t>
  </si>
  <si>
    <t>Unités distribuées en 2020</t>
  </si>
  <si>
    <t>Hoeveelheden verdeeld in 2020</t>
  </si>
  <si>
    <t>Unités achétées à la base - livrées en 2021</t>
  </si>
  <si>
    <t>Hoeveelheden aangekocht aan de basis geleverd in 2021</t>
  </si>
  <si>
    <t>Unités livrées au 31/12/2021</t>
  </si>
  <si>
    <t>Eenheden reeds geleverd op 31/12/2021</t>
  </si>
  <si>
    <t>Maquereaux à l’huile de tournesol
Makreel in zonnebloemolie</t>
  </si>
  <si>
    <t>Ratatouille</t>
  </si>
  <si>
    <t>Haricots blancs
Witte bonen</t>
  </si>
  <si>
    <t>Biscuits fourrés au chocolat
Koekjes gevuld met chocolade</t>
  </si>
  <si>
    <t>Chocolat noir issu du commerce équitable
Fairtrade pure chocolade</t>
  </si>
  <si>
    <t>Poulet mijoté aux légumes
Kip gestoofd met groenten</t>
  </si>
  <si>
    <t>Lots 2020
Percelen 2020</t>
  </si>
  <si>
    <t>405g</t>
  </si>
  <si>
    <t>780g</t>
  </si>
  <si>
    <t>9, 10, 11, 16</t>
  </si>
  <si>
    <t>Volume total livré au 31/12/2021</t>
  </si>
  <si>
    <t>Totaal volume geleverd op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</si>
</sst>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" fontId="0" fillId="2" borderId="8" xfId="0" applyNumberFormat="1" applyFill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164" fontId="3" fillId="3" borderId="5" xfId="0" applyNumberFormat="1" applyFont="1" applyFill="1" applyBorder="1" applyAlignment="1">
      <alignment horizontal="left" vertical="center" wrapText="1"/>
    </xf>
    <xf numFmtId="3" fontId="3" fillId="0" borderId="5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164" fontId="3" fillId="3" borderId="8" xfId="0" applyNumberFormat="1" applyFont="1" applyFill="1" applyBorder="1" applyAlignment="1">
      <alignment horizontal="left" vertical="center" wrapText="1"/>
    </xf>
    <xf numFmtId="3" fontId="3" fillId="0" borderId="8" xfId="0" applyNumberFormat="1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3" fontId="3" fillId="0" borderId="17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0" fontId="0" fillId="0" borderId="9" xfId="0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7" xfId="0" applyFill="1" applyBorder="1"/>
    <xf numFmtId="0" fontId="0" fillId="2" borderId="19" xfId="0" applyFill="1" applyBorder="1"/>
    <xf numFmtId="0" fontId="0" fillId="2" borderId="20" xfId="0" applyFill="1" applyBorder="1"/>
    <xf numFmtId="3" fontId="0" fillId="0" borderId="8" xfId="0" applyNumberFormat="1" applyBorder="1" applyAlignment="1">
      <alignment vertical="center"/>
    </xf>
    <xf numFmtId="164" fontId="0" fillId="0" borderId="5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3" fontId="0" fillId="0" borderId="5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64" fontId="3" fillId="3" borderId="13" xfId="0" applyNumberFormat="1" applyFont="1" applyFill="1" applyBorder="1" applyAlignment="1">
      <alignment horizontal="left" vertical="center" wrapText="1"/>
    </xf>
    <xf numFmtId="3" fontId="3" fillId="3" borderId="5" xfId="0" applyNumberFormat="1" applyFont="1" applyFill="1" applyBorder="1" applyAlignment="1">
      <alignment horizontal="right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3" borderId="14" xfId="0" applyNumberFormat="1" applyFont="1" applyFill="1" applyBorder="1" applyAlignment="1">
      <alignment horizontal="left" vertical="center" wrapText="1"/>
    </xf>
    <xf numFmtId="3" fontId="3" fillId="3" borderId="8" xfId="0" applyNumberFormat="1" applyFont="1" applyFill="1" applyBorder="1" applyAlignment="1">
      <alignment horizontal="right" vertical="center" wrapText="1"/>
    </xf>
    <xf numFmtId="164" fontId="3" fillId="3" borderId="15" xfId="0" applyNumberFormat="1" applyFont="1" applyFill="1" applyBorder="1" applyAlignment="1">
      <alignment horizontal="left" vertical="center" wrapText="1"/>
    </xf>
    <xf numFmtId="164" fontId="3" fillId="3" borderId="18" xfId="0" applyNumberFormat="1" applyFont="1" applyFill="1" applyBorder="1" applyAlignment="1">
      <alignment horizontal="left" vertical="center" wrapText="1"/>
    </xf>
    <xf numFmtId="3" fontId="3" fillId="3" borderId="19" xfId="0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 wrapText="1"/>
    </xf>
    <xf numFmtId="0" fontId="0" fillId="2" borderId="8" xfId="0" applyFill="1" applyBorder="1" applyAlignment="1">
      <alignment horizontal="right"/>
    </xf>
    <xf numFmtId="4" fontId="0" fillId="0" borderId="9" xfId="0" applyNumberFormat="1" applyBorder="1"/>
    <xf numFmtId="4" fontId="4" fillId="0" borderId="28" xfId="0" applyNumberFormat="1" applyFont="1" applyBorder="1"/>
    <xf numFmtId="4" fontId="3" fillId="0" borderId="6" xfId="0" applyNumberFormat="1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3" fontId="0" fillId="0" borderId="8" xfId="0" applyNumberFormat="1" applyBorder="1"/>
    <xf numFmtId="3" fontId="0" fillId="0" borderId="19" xfId="0" applyNumberFormat="1" applyBorder="1"/>
    <xf numFmtId="3" fontId="0" fillId="0" borderId="5" xfId="0" applyNumberFormat="1" applyBorder="1"/>
    <xf numFmtId="4" fontId="0" fillId="0" borderId="6" xfId="0" applyNumberFormat="1" applyBorder="1"/>
    <xf numFmtId="4" fontId="0" fillId="0" borderId="20" xfId="0" applyNumberFormat="1" applyBorder="1"/>
    <xf numFmtId="4" fontId="0" fillId="0" borderId="0" xfId="0" applyNumberFormat="1"/>
    <xf numFmtId="4" fontId="4" fillId="0" borderId="0" xfId="0" applyNumberFormat="1" applyFont="1"/>
    <xf numFmtId="0" fontId="0" fillId="0" borderId="4" xfId="0" applyBorder="1" applyAlignment="1">
      <alignment wrapText="1"/>
    </xf>
    <xf numFmtId="0" fontId="0" fillId="2" borderId="5" xfId="0" applyFill="1" applyBorder="1" applyAlignment="1">
      <alignment horizontal="right"/>
    </xf>
    <xf numFmtId="0" fontId="0" fillId="0" borderId="17" xfId="0" applyBorder="1" applyAlignment="1">
      <alignment wrapText="1"/>
    </xf>
    <xf numFmtId="0" fontId="0" fillId="2" borderId="19" xfId="0" applyFill="1" applyBorder="1" applyAlignment="1">
      <alignment horizontal="right"/>
    </xf>
    <xf numFmtId="49" fontId="0" fillId="0" borderId="26" xfId="0" applyNumberFormat="1" applyBorder="1" applyAlignment="1">
      <alignment horizontal="right"/>
    </xf>
    <xf numFmtId="49" fontId="0" fillId="0" borderId="14" xfId="0" applyNumberFormat="1" applyBorder="1" applyAlignment="1">
      <alignment horizontal="right"/>
    </xf>
    <xf numFmtId="49" fontId="0" fillId="0" borderId="27" xfId="0" applyNumberFormat="1" applyBorder="1" applyAlignment="1">
      <alignment horizontal="right"/>
    </xf>
    <xf numFmtId="3" fontId="0" fillId="0" borderId="0" xfId="0" applyNumberFormat="1"/>
    <xf numFmtId="164" fontId="3" fillId="3" borderId="19" xfId="0" applyNumberFormat="1" applyFont="1" applyFill="1" applyBorder="1" applyAlignment="1">
      <alignment horizontal="left" vertical="center" wrapText="1"/>
    </xf>
    <xf numFmtId="3" fontId="3" fillId="5" borderId="8" xfId="0" applyNumberFormat="1" applyFont="1" applyFill="1" applyBorder="1" applyAlignment="1">
      <alignment horizontal="right" vertical="center" wrapText="1"/>
    </xf>
    <xf numFmtId="4" fontId="3" fillId="5" borderId="8" xfId="0" applyNumberFormat="1" applyFont="1" applyFill="1" applyBorder="1" applyAlignment="1">
      <alignment vertical="center"/>
    </xf>
    <xf numFmtId="3" fontId="3" fillId="5" borderId="8" xfId="0" applyNumberFormat="1" applyFont="1" applyFill="1" applyBorder="1" applyAlignment="1">
      <alignment vertical="center"/>
    </xf>
    <xf numFmtId="164" fontId="3" fillId="5" borderId="8" xfId="0" applyNumberFormat="1" applyFont="1" applyFill="1" applyBorder="1" applyAlignment="1">
      <alignment horizontal="center" vertical="center" wrapText="1"/>
    </xf>
    <xf numFmtId="4" fontId="3" fillId="5" borderId="9" xfId="0" applyNumberFormat="1" applyFont="1" applyFill="1" applyBorder="1" applyAlignment="1">
      <alignment vertical="center"/>
    </xf>
    <xf numFmtId="3" fontId="0" fillId="5" borderId="8" xfId="0" applyNumberFormat="1" applyFill="1" applyBorder="1"/>
    <xf numFmtId="4" fontId="0" fillId="5" borderId="9" xfId="0" applyNumberFormat="1" applyFill="1" applyBorder="1"/>
    <xf numFmtId="49" fontId="0" fillId="0" borderId="6" xfId="0" applyNumberFormat="1" applyBorder="1" applyAlignment="1">
      <alignment horizontal="right"/>
    </xf>
    <xf numFmtId="49" fontId="0" fillId="0" borderId="9" xfId="0" applyNumberFormat="1" applyBorder="1" applyAlignment="1">
      <alignment horizontal="right"/>
    </xf>
    <xf numFmtId="49" fontId="0" fillId="0" borderId="20" xfId="0" applyNumberFormat="1" applyBorder="1" applyAlignment="1">
      <alignment horizontal="right"/>
    </xf>
    <xf numFmtId="3" fontId="0" fillId="0" borderId="29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4" fontId="0" fillId="2" borderId="4" xfId="0" applyNumberFormat="1" applyFill="1" applyBorder="1" applyAlignment="1">
      <alignment vertical="center"/>
    </xf>
    <xf numFmtId="4" fontId="0" fillId="2" borderId="5" xfId="0" applyNumberFormat="1" applyFill="1" applyBorder="1" applyAlignment="1">
      <alignment vertical="center"/>
    </xf>
    <xf numFmtId="4" fontId="0" fillId="2" borderId="6" xfId="0" applyNumberFormat="1" applyFill="1" applyBorder="1" applyAlignment="1">
      <alignment vertical="center"/>
    </xf>
    <xf numFmtId="4" fontId="0" fillId="2" borderId="7" xfId="0" applyNumberFormat="1" applyFill="1" applyBorder="1" applyAlignment="1">
      <alignment vertical="center"/>
    </xf>
    <xf numFmtId="4" fontId="0" fillId="2" borderId="9" xfId="0" applyNumberFormat="1" applyFill="1" applyBorder="1" applyAlignment="1">
      <alignment vertical="center"/>
    </xf>
    <xf numFmtId="4" fontId="0" fillId="2" borderId="17" xfId="0" applyNumberFormat="1" applyFill="1" applyBorder="1" applyAlignment="1">
      <alignment vertical="center"/>
    </xf>
    <xf numFmtId="4" fontId="0" fillId="2" borderId="19" xfId="0" applyNumberFormat="1" applyFill="1" applyBorder="1" applyAlignment="1">
      <alignment vertical="center"/>
    </xf>
    <xf numFmtId="4" fontId="0" fillId="2" borderId="20" xfId="0" applyNumberFormat="1" applyFill="1" applyBorder="1" applyAlignment="1">
      <alignment vertical="center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4" fontId="4" fillId="4" borderId="22" xfId="0" applyNumberFormat="1" applyFont="1" applyFill="1" applyBorder="1" applyAlignment="1">
      <alignment horizontal="center"/>
    </xf>
    <xf numFmtId="4" fontId="4" fillId="4" borderId="23" xfId="0" applyNumberFormat="1" applyFont="1" applyFill="1" applyBorder="1" applyAlignment="1">
      <alignment horizontal="center"/>
    </xf>
    <xf numFmtId="4" fontId="4" fillId="4" borderId="24" xfId="0" applyNumberFormat="1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erwerkenStocks31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orraadstaat_bijlage_ix_fonds_"/>
    </sheetNames>
    <sheetDataSet>
      <sheetData sheetId="0">
        <row r="724">
          <cell r="AL724">
            <v>654265</v>
          </cell>
          <cell r="AP724">
            <v>638750</v>
          </cell>
          <cell r="AT724">
            <v>212641</v>
          </cell>
          <cell r="AX724">
            <v>87919</v>
          </cell>
          <cell r="BB724">
            <v>169820</v>
          </cell>
          <cell r="BF724">
            <v>375308</v>
          </cell>
          <cell r="BJ724">
            <v>247182</v>
          </cell>
          <cell r="BN724">
            <v>205012</v>
          </cell>
          <cell r="BR724">
            <v>48017</v>
          </cell>
          <cell r="BV724">
            <v>48078</v>
          </cell>
          <cell r="BZ724">
            <v>242536</v>
          </cell>
          <cell r="CD724">
            <v>204180</v>
          </cell>
          <cell r="CH724">
            <v>129040</v>
          </cell>
          <cell r="CL724">
            <v>183985</v>
          </cell>
          <cell r="CP724">
            <v>182125</v>
          </cell>
          <cell r="CT724">
            <v>64028</v>
          </cell>
          <cell r="CX724">
            <v>67376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B421B-393A-41AC-A16C-1CAAD5A574C5}">
  <dimension ref="A1:V49"/>
  <sheetViews>
    <sheetView tabSelected="1" topLeftCell="C4" zoomScale="70" zoomScaleNormal="70" workbookViewId="0">
      <selection activeCell="J48" sqref="J48"/>
    </sheetView>
  </sheetViews>
  <sheetFormatPr defaultRowHeight="15" x14ac:dyDescent="0.25"/>
  <cols>
    <col min="1" max="1" width="8.140625" customWidth="1"/>
    <col min="2" max="2" width="57.7109375" customWidth="1"/>
    <col min="3" max="4" width="16.28515625" customWidth="1"/>
    <col min="5" max="5" width="17.140625" customWidth="1"/>
    <col min="6" max="6" width="12.140625" customWidth="1"/>
    <col min="7" max="7" width="19.28515625" customWidth="1"/>
    <col min="8" max="8" width="21.42578125" customWidth="1"/>
    <col min="9" max="9" width="24" customWidth="1"/>
    <col min="10" max="10" width="17.140625" customWidth="1"/>
    <col min="11" max="11" width="57.7109375" customWidth="1"/>
    <col min="12" max="13" width="16.28515625" customWidth="1"/>
    <col min="14" max="14" width="12.140625" customWidth="1"/>
    <col min="15" max="15" width="19.28515625" customWidth="1"/>
    <col min="16" max="16" width="10.28515625" customWidth="1"/>
    <col min="17" max="17" width="13.7109375" customWidth="1"/>
    <col min="18" max="18" width="14.42578125" customWidth="1"/>
    <col min="19" max="19" width="12.140625" customWidth="1"/>
    <col min="20" max="20" width="14.5703125" customWidth="1"/>
    <col min="21" max="21" width="10.28515625" customWidth="1"/>
    <col min="22" max="22" width="15.42578125" customWidth="1"/>
  </cols>
  <sheetData>
    <row r="1" spans="1:22" ht="48.75" customHeight="1" thickBot="1" x14ac:dyDescent="0.3">
      <c r="A1" s="94" t="s">
        <v>48</v>
      </c>
      <c r="B1" s="95"/>
      <c r="C1" s="95"/>
      <c r="D1" s="95"/>
      <c r="E1" s="95"/>
      <c r="F1" s="95"/>
      <c r="G1" s="95"/>
      <c r="H1" s="95"/>
      <c r="I1" s="96"/>
      <c r="J1" s="94" t="s">
        <v>95</v>
      </c>
      <c r="K1" s="95"/>
      <c r="L1" s="95"/>
      <c r="M1" s="95"/>
      <c r="N1" s="95"/>
      <c r="O1" s="95"/>
      <c r="P1" s="95"/>
      <c r="Q1" s="96"/>
      <c r="R1" s="94" t="s">
        <v>53</v>
      </c>
      <c r="S1" s="95"/>
      <c r="T1" s="95"/>
      <c r="U1" s="95"/>
      <c r="V1" s="96"/>
    </row>
    <row r="2" spans="1:22" ht="79.5" thickBot="1" x14ac:dyDescent="0.3">
      <c r="A2" s="1" t="s">
        <v>0</v>
      </c>
      <c r="B2" s="2" t="s">
        <v>1</v>
      </c>
      <c r="C2" s="2" t="s">
        <v>96</v>
      </c>
      <c r="D2" s="2" t="s">
        <v>97</v>
      </c>
      <c r="E2" s="2" t="s">
        <v>45</v>
      </c>
      <c r="F2" s="2" t="s">
        <v>2</v>
      </c>
      <c r="G2" s="2" t="s">
        <v>42</v>
      </c>
      <c r="H2" s="3" t="s">
        <v>3</v>
      </c>
      <c r="I2" s="4" t="s">
        <v>4</v>
      </c>
      <c r="J2" s="1" t="s">
        <v>0</v>
      </c>
      <c r="K2" s="2" t="s">
        <v>1</v>
      </c>
      <c r="L2" s="2" t="s">
        <v>99</v>
      </c>
      <c r="M2" s="2" t="s">
        <v>101</v>
      </c>
      <c r="N2" s="2" t="s">
        <v>2</v>
      </c>
      <c r="O2" s="2" t="s">
        <v>113</v>
      </c>
      <c r="P2" s="3" t="s">
        <v>3</v>
      </c>
      <c r="Q2" s="4" t="s">
        <v>4</v>
      </c>
      <c r="R2" s="37" t="s">
        <v>49</v>
      </c>
      <c r="S2" s="38" t="s">
        <v>2</v>
      </c>
      <c r="T2" s="2" t="s">
        <v>42</v>
      </c>
      <c r="U2" s="3" t="s">
        <v>3</v>
      </c>
      <c r="V2" s="4" t="s">
        <v>4</v>
      </c>
    </row>
    <row r="3" spans="1:22" ht="79.5" thickBot="1" x14ac:dyDescent="0.3">
      <c r="A3" s="1" t="s">
        <v>5</v>
      </c>
      <c r="B3" s="2" t="s">
        <v>6</v>
      </c>
      <c r="C3" s="2" t="s">
        <v>44</v>
      </c>
      <c r="D3" s="2" t="s">
        <v>98</v>
      </c>
      <c r="E3" s="2" t="s">
        <v>46</v>
      </c>
      <c r="F3" s="2" t="s">
        <v>7</v>
      </c>
      <c r="G3" s="2" t="s">
        <v>43</v>
      </c>
      <c r="H3" s="3" t="s">
        <v>8</v>
      </c>
      <c r="I3" s="4" t="s">
        <v>9</v>
      </c>
      <c r="J3" s="1" t="s">
        <v>5</v>
      </c>
      <c r="K3" s="2" t="s">
        <v>6</v>
      </c>
      <c r="L3" s="2" t="s">
        <v>100</v>
      </c>
      <c r="M3" s="2" t="s">
        <v>102</v>
      </c>
      <c r="N3" s="2" t="s">
        <v>7</v>
      </c>
      <c r="O3" s="2" t="s">
        <v>114</v>
      </c>
      <c r="P3" s="3" t="s">
        <v>8</v>
      </c>
      <c r="Q3" s="4" t="s">
        <v>9</v>
      </c>
      <c r="R3" s="42" t="s">
        <v>50</v>
      </c>
      <c r="S3" s="39" t="s">
        <v>51</v>
      </c>
      <c r="T3" s="39" t="s">
        <v>43</v>
      </c>
      <c r="U3" s="40" t="s">
        <v>8</v>
      </c>
      <c r="V3" s="41" t="s">
        <v>52</v>
      </c>
    </row>
    <row r="4" spans="1:22" ht="30" x14ac:dyDescent="0.25">
      <c r="A4" s="6">
        <v>1</v>
      </c>
      <c r="B4" s="43" t="s">
        <v>10</v>
      </c>
      <c r="C4" s="44">
        <v>4047619</v>
      </c>
      <c r="D4" s="8">
        <v>3031908</v>
      </c>
      <c r="E4" s="33">
        <f>C4-D4</f>
        <v>1015711</v>
      </c>
      <c r="F4" s="8" t="s">
        <v>11</v>
      </c>
      <c r="G4" s="33">
        <f>E4</f>
        <v>1015711</v>
      </c>
      <c r="H4" s="45" t="s">
        <v>12</v>
      </c>
      <c r="I4" s="34">
        <f>G4/1000*1.03</f>
        <v>1046.1823300000001</v>
      </c>
      <c r="J4" s="86"/>
      <c r="K4" s="87"/>
      <c r="L4" s="87"/>
      <c r="M4" s="87"/>
      <c r="N4" s="87"/>
      <c r="O4" s="87"/>
      <c r="P4" s="87"/>
      <c r="Q4" s="88"/>
      <c r="R4" s="84">
        <v>1015711</v>
      </c>
      <c r="S4" s="8" t="s">
        <v>11</v>
      </c>
      <c r="T4" s="33">
        <v>1015711</v>
      </c>
      <c r="U4" s="28" t="s">
        <v>12</v>
      </c>
      <c r="V4" s="34">
        <f>I4</f>
        <v>1046.1823300000001</v>
      </c>
    </row>
    <row r="5" spans="1:22" ht="30" x14ac:dyDescent="0.25">
      <c r="A5" s="9">
        <v>2</v>
      </c>
      <c r="B5" s="46" t="s">
        <v>13</v>
      </c>
      <c r="C5" s="47">
        <v>1449275</v>
      </c>
      <c r="D5" s="11">
        <v>808556</v>
      </c>
      <c r="E5" s="27">
        <f t="shared" ref="E5:E21" si="0">C5-D5</f>
        <v>640719</v>
      </c>
      <c r="F5" s="15" t="s">
        <v>14</v>
      </c>
      <c r="G5" s="27">
        <f>E5*125</f>
        <v>80089875</v>
      </c>
      <c r="H5" s="30" t="s">
        <v>15</v>
      </c>
      <c r="I5" s="35">
        <f>G5/1000000</f>
        <v>80.089875000000006</v>
      </c>
      <c r="J5" s="89"/>
      <c r="K5" s="5"/>
      <c r="L5" s="5"/>
      <c r="M5" s="5"/>
      <c r="N5" s="5"/>
      <c r="O5" s="5"/>
      <c r="P5" s="5"/>
      <c r="Q5" s="90"/>
      <c r="R5" s="85">
        <v>640719</v>
      </c>
      <c r="S5" s="15" t="s">
        <v>14</v>
      </c>
      <c r="T5" s="27">
        <v>80089875</v>
      </c>
      <c r="U5" s="29" t="s">
        <v>15</v>
      </c>
      <c r="V5" s="35">
        <f t="shared" ref="V5:V21" si="1">I5</f>
        <v>80.089875000000006</v>
      </c>
    </row>
    <row r="6" spans="1:22" ht="30" x14ac:dyDescent="0.25">
      <c r="A6" s="9">
        <v>3</v>
      </c>
      <c r="B6" s="48" t="s">
        <v>16</v>
      </c>
      <c r="C6" s="47">
        <v>765306</v>
      </c>
      <c r="D6" s="11">
        <v>328198</v>
      </c>
      <c r="E6" s="27">
        <f t="shared" si="0"/>
        <v>437108</v>
      </c>
      <c r="F6" s="15" t="s">
        <v>17</v>
      </c>
      <c r="G6" s="27">
        <f>E6*260</f>
        <v>113648080</v>
      </c>
      <c r="H6" s="30" t="s">
        <v>15</v>
      </c>
      <c r="I6" s="35">
        <f t="shared" ref="I6:I15" si="2">G6/1000000</f>
        <v>113.64807999999999</v>
      </c>
      <c r="J6" s="89"/>
      <c r="K6" s="5"/>
      <c r="L6" s="5"/>
      <c r="M6" s="5"/>
      <c r="N6" s="5"/>
      <c r="O6" s="5"/>
      <c r="P6" s="5"/>
      <c r="Q6" s="90"/>
      <c r="R6" s="85">
        <v>437108</v>
      </c>
      <c r="S6" s="15" t="s">
        <v>17</v>
      </c>
      <c r="T6" s="27">
        <v>113648080</v>
      </c>
      <c r="U6" s="29" t="s">
        <v>15</v>
      </c>
      <c r="V6" s="35">
        <f t="shared" si="1"/>
        <v>113.64807999999999</v>
      </c>
    </row>
    <row r="7" spans="1:22" ht="30" x14ac:dyDescent="0.25">
      <c r="A7" s="9">
        <v>4</v>
      </c>
      <c r="B7" s="48" t="s">
        <v>18</v>
      </c>
      <c r="C7" s="47">
        <v>857142</v>
      </c>
      <c r="D7" s="11">
        <v>464151</v>
      </c>
      <c r="E7" s="27">
        <f t="shared" si="0"/>
        <v>392991</v>
      </c>
      <c r="F7" s="15" t="s">
        <v>19</v>
      </c>
      <c r="G7" s="27">
        <f>E7*1000</f>
        <v>392991000</v>
      </c>
      <c r="H7" s="30" t="s">
        <v>15</v>
      </c>
      <c r="I7" s="35">
        <f t="shared" si="2"/>
        <v>392.99099999999999</v>
      </c>
      <c r="J7" s="89"/>
      <c r="K7" s="5"/>
      <c r="L7" s="5"/>
      <c r="M7" s="5"/>
      <c r="N7" s="5"/>
      <c r="O7" s="5"/>
      <c r="P7" s="5"/>
      <c r="Q7" s="90"/>
      <c r="R7" s="85">
        <v>392991</v>
      </c>
      <c r="S7" s="15" t="s">
        <v>19</v>
      </c>
      <c r="T7" s="27">
        <v>392991000</v>
      </c>
      <c r="U7" s="29" t="s">
        <v>15</v>
      </c>
      <c r="V7" s="35">
        <f t="shared" si="1"/>
        <v>392.99099999999999</v>
      </c>
    </row>
    <row r="8" spans="1:22" ht="30" x14ac:dyDescent="0.25">
      <c r="A8" s="9">
        <v>5</v>
      </c>
      <c r="B8" s="48" t="s">
        <v>20</v>
      </c>
      <c r="C8" s="47">
        <v>714285</v>
      </c>
      <c r="D8" s="11">
        <v>414792</v>
      </c>
      <c r="E8" s="27">
        <f t="shared" si="0"/>
        <v>299493</v>
      </c>
      <c r="F8" s="15" t="s">
        <v>21</v>
      </c>
      <c r="G8" s="27">
        <f>E8*250</f>
        <v>74873250</v>
      </c>
      <c r="H8" s="30" t="s">
        <v>15</v>
      </c>
      <c r="I8" s="35">
        <f t="shared" si="2"/>
        <v>74.873249999999999</v>
      </c>
      <c r="J8" s="89"/>
      <c r="K8" s="5"/>
      <c r="L8" s="5"/>
      <c r="M8" s="5"/>
      <c r="N8" s="5"/>
      <c r="O8" s="5"/>
      <c r="P8" s="5"/>
      <c r="Q8" s="90"/>
      <c r="R8" s="85">
        <v>299493</v>
      </c>
      <c r="S8" s="15" t="s">
        <v>21</v>
      </c>
      <c r="T8" s="27">
        <v>74873250</v>
      </c>
      <c r="U8" s="30" t="s">
        <v>15</v>
      </c>
      <c r="V8" s="35">
        <f t="shared" si="1"/>
        <v>74.873249999999999</v>
      </c>
    </row>
    <row r="9" spans="1:22" ht="30" x14ac:dyDescent="0.25">
      <c r="A9" s="9">
        <v>6</v>
      </c>
      <c r="B9" s="10" t="s">
        <v>22</v>
      </c>
      <c r="C9" s="47">
        <v>1339280</v>
      </c>
      <c r="D9" s="11">
        <v>620400</v>
      </c>
      <c r="E9" s="27">
        <f t="shared" si="0"/>
        <v>718880</v>
      </c>
      <c r="F9" s="15" t="s">
        <v>19</v>
      </c>
      <c r="G9" s="27">
        <f>E9*1000</f>
        <v>718880000</v>
      </c>
      <c r="H9" s="30" t="s">
        <v>15</v>
      </c>
      <c r="I9" s="35">
        <f t="shared" si="2"/>
        <v>718.88</v>
      </c>
      <c r="J9" s="89"/>
      <c r="K9" s="5"/>
      <c r="L9" s="5"/>
      <c r="M9" s="5"/>
      <c r="N9" s="5"/>
      <c r="O9" s="5"/>
      <c r="P9" s="5"/>
      <c r="Q9" s="90"/>
      <c r="R9" s="85">
        <v>718880</v>
      </c>
      <c r="S9" s="15" t="s">
        <v>19</v>
      </c>
      <c r="T9" s="27">
        <v>718880000</v>
      </c>
      <c r="U9" s="30" t="s">
        <v>15</v>
      </c>
      <c r="V9" s="35">
        <f t="shared" si="1"/>
        <v>718.88</v>
      </c>
    </row>
    <row r="10" spans="1:22" ht="30" x14ac:dyDescent="0.25">
      <c r="A10" s="9">
        <v>7</v>
      </c>
      <c r="B10" s="10" t="s">
        <v>23</v>
      </c>
      <c r="C10" s="47">
        <v>1014492</v>
      </c>
      <c r="D10" s="11">
        <v>503772</v>
      </c>
      <c r="E10" s="27">
        <f t="shared" si="0"/>
        <v>510720</v>
      </c>
      <c r="F10" s="15" t="s">
        <v>19</v>
      </c>
      <c r="G10" s="27">
        <f>E10*1000</f>
        <v>510720000</v>
      </c>
      <c r="H10" s="30" t="s">
        <v>15</v>
      </c>
      <c r="I10" s="35">
        <f t="shared" si="2"/>
        <v>510.72</v>
      </c>
      <c r="J10" s="89"/>
      <c r="K10" s="5"/>
      <c r="L10" s="5"/>
      <c r="M10" s="5"/>
      <c r="N10" s="5"/>
      <c r="O10" s="5"/>
      <c r="P10" s="5"/>
      <c r="Q10" s="90"/>
      <c r="R10" s="85">
        <v>510720</v>
      </c>
      <c r="S10" s="15" t="s">
        <v>19</v>
      </c>
      <c r="T10" s="27">
        <v>510720000</v>
      </c>
      <c r="U10" s="30" t="s">
        <v>15</v>
      </c>
      <c r="V10" s="35">
        <f t="shared" si="1"/>
        <v>510.72</v>
      </c>
    </row>
    <row r="11" spans="1:22" ht="30" x14ac:dyDescent="0.25">
      <c r="A11" s="9">
        <v>8</v>
      </c>
      <c r="B11" s="12" t="s">
        <v>24</v>
      </c>
      <c r="C11" s="47">
        <v>1666666</v>
      </c>
      <c r="D11" s="11">
        <v>742914</v>
      </c>
      <c r="E11" s="27">
        <f t="shared" si="0"/>
        <v>923752</v>
      </c>
      <c r="F11" s="15" t="s">
        <v>25</v>
      </c>
      <c r="G11" s="27">
        <f>E11*400</f>
        <v>369500800</v>
      </c>
      <c r="H11" s="30" t="s">
        <v>15</v>
      </c>
      <c r="I11" s="35">
        <f t="shared" si="2"/>
        <v>369.50080000000003</v>
      </c>
      <c r="J11" s="89"/>
      <c r="K11" s="5"/>
      <c r="L11" s="5"/>
      <c r="M11" s="5"/>
      <c r="N11" s="5"/>
      <c r="O11" s="5"/>
      <c r="P11" s="5"/>
      <c r="Q11" s="90"/>
      <c r="R11" s="85">
        <v>923752</v>
      </c>
      <c r="S11" s="15" t="s">
        <v>25</v>
      </c>
      <c r="T11" s="27">
        <v>369500800</v>
      </c>
      <c r="U11" s="30" t="s">
        <v>15</v>
      </c>
      <c r="V11" s="35">
        <f t="shared" si="1"/>
        <v>369.50080000000003</v>
      </c>
    </row>
    <row r="12" spans="1:22" ht="30" x14ac:dyDescent="0.25">
      <c r="A12" s="9">
        <v>9</v>
      </c>
      <c r="B12" s="10" t="s">
        <v>26</v>
      </c>
      <c r="C12" s="47">
        <v>781250</v>
      </c>
      <c r="D12" s="11">
        <v>432969</v>
      </c>
      <c r="E12" s="27">
        <f t="shared" si="0"/>
        <v>348281</v>
      </c>
      <c r="F12" s="15" t="s">
        <v>27</v>
      </c>
      <c r="G12" s="27">
        <f>E12*800</f>
        <v>278624800</v>
      </c>
      <c r="H12" s="30" t="s">
        <v>15</v>
      </c>
      <c r="I12" s="35">
        <f t="shared" si="2"/>
        <v>278.62479999999999</v>
      </c>
      <c r="J12" s="89"/>
      <c r="K12" s="5"/>
      <c r="L12" s="5"/>
      <c r="M12" s="5"/>
      <c r="N12" s="5"/>
      <c r="O12" s="5"/>
      <c r="P12" s="5"/>
      <c r="Q12" s="90"/>
      <c r="R12" s="85">
        <v>348281</v>
      </c>
      <c r="S12" s="15" t="s">
        <v>27</v>
      </c>
      <c r="T12" s="27">
        <v>278624800</v>
      </c>
      <c r="U12" s="30" t="s">
        <v>15</v>
      </c>
      <c r="V12" s="35">
        <f t="shared" si="1"/>
        <v>278.62479999999999</v>
      </c>
    </row>
    <row r="13" spans="1:22" ht="30" x14ac:dyDescent="0.25">
      <c r="A13" s="9">
        <v>10</v>
      </c>
      <c r="B13" s="10" t="s">
        <v>28</v>
      </c>
      <c r="C13" s="47">
        <v>1111111</v>
      </c>
      <c r="D13" s="11">
        <v>657249</v>
      </c>
      <c r="E13" s="27">
        <f t="shared" si="0"/>
        <v>453862</v>
      </c>
      <c r="F13" s="15" t="s">
        <v>25</v>
      </c>
      <c r="G13" s="27">
        <f>E13*400</f>
        <v>181544800</v>
      </c>
      <c r="H13" s="30" t="s">
        <v>15</v>
      </c>
      <c r="I13" s="35">
        <f t="shared" si="2"/>
        <v>181.54480000000001</v>
      </c>
      <c r="J13" s="89"/>
      <c r="K13" s="5"/>
      <c r="L13" s="5"/>
      <c r="M13" s="5"/>
      <c r="N13" s="5"/>
      <c r="O13" s="5"/>
      <c r="P13" s="5"/>
      <c r="Q13" s="90"/>
      <c r="R13" s="85">
        <v>453862</v>
      </c>
      <c r="S13" s="15" t="s">
        <v>25</v>
      </c>
      <c r="T13" s="27">
        <v>181544800</v>
      </c>
      <c r="U13" s="30" t="s">
        <v>15</v>
      </c>
      <c r="V13" s="35">
        <f t="shared" si="1"/>
        <v>181.54480000000001</v>
      </c>
    </row>
    <row r="14" spans="1:22" ht="30" x14ac:dyDescent="0.25">
      <c r="A14" s="9">
        <v>11</v>
      </c>
      <c r="B14" s="10" t="s">
        <v>29</v>
      </c>
      <c r="C14" s="47">
        <v>740740</v>
      </c>
      <c r="D14" s="11">
        <v>495275</v>
      </c>
      <c r="E14" s="27">
        <f t="shared" si="0"/>
        <v>245465</v>
      </c>
      <c r="F14" s="15" t="s">
        <v>25</v>
      </c>
      <c r="G14" s="27">
        <f>E14*400</f>
        <v>98186000</v>
      </c>
      <c r="H14" s="30" t="s">
        <v>15</v>
      </c>
      <c r="I14" s="35">
        <f t="shared" si="2"/>
        <v>98.186000000000007</v>
      </c>
      <c r="J14" s="89"/>
      <c r="K14" s="5"/>
      <c r="L14" s="5"/>
      <c r="M14" s="5"/>
      <c r="N14" s="5"/>
      <c r="O14" s="5"/>
      <c r="P14" s="5"/>
      <c r="Q14" s="90"/>
      <c r="R14" s="85">
        <v>245465</v>
      </c>
      <c r="S14" s="15" t="s">
        <v>25</v>
      </c>
      <c r="T14" s="27">
        <v>98186000</v>
      </c>
      <c r="U14" s="30" t="s">
        <v>15</v>
      </c>
      <c r="V14" s="35">
        <f t="shared" si="1"/>
        <v>98.186000000000007</v>
      </c>
    </row>
    <row r="15" spans="1:22" ht="30" x14ac:dyDescent="0.25">
      <c r="A15" s="9">
        <v>12</v>
      </c>
      <c r="B15" s="10" t="s">
        <v>30</v>
      </c>
      <c r="C15" s="47">
        <v>571428</v>
      </c>
      <c r="D15" s="11">
        <v>116002</v>
      </c>
      <c r="E15" s="27">
        <f t="shared" si="0"/>
        <v>455426</v>
      </c>
      <c r="F15" s="15" t="s">
        <v>31</v>
      </c>
      <c r="G15" s="27">
        <f>E15*460</f>
        <v>209495960</v>
      </c>
      <c r="H15" s="30" t="s">
        <v>15</v>
      </c>
      <c r="I15" s="35">
        <f t="shared" si="2"/>
        <v>209.49596</v>
      </c>
      <c r="J15" s="89"/>
      <c r="K15" s="5"/>
      <c r="L15" s="5"/>
      <c r="M15" s="5"/>
      <c r="N15" s="5"/>
      <c r="O15" s="5"/>
      <c r="P15" s="5"/>
      <c r="Q15" s="90"/>
      <c r="R15" s="85">
        <v>455426</v>
      </c>
      <c r="S15" s="15" t="s">
        <v>31</v>
      </c>
      <c r="T15" s="27">
        <v>209495960</v>
      </c>
      <c r="U15" s="30" t="s">
        <v>15</v>
      </c>
      <c r="V15" s="35">
        <f t="shared" si="1"/>
        <v>209.49596</v>
      </c>
    </row>
    <row r="16" spans="1:22" ht="30" x14ac:dyDescent="0.25">
      <c r="A16" s="9">
        <v>13</v>
      </c>
      <c r="B16" s="10" t="s">
        <v>32</v>
      </c>
      <c r="C16" s="47">
        <v>699300</v>
      </c>
      <c r="D16" s="11">
        <v>378507</v>
      </c>
      <c r="E16" s="27">
        <f t="shared" si="0"/>
        <v>320793</v>
      </c>
      <c r="F16" s="15" t="s">
        <v>33</v>
      </c>
      <c r="G16" s="27">
        <f>E16/2</f>
        <v>160396.5</v>
      </c>
      <c r="H16" s="31" t="s">
        <v>12</v>
      </c>
      <c r="I16" s="35">
        <f>G16/1000*0.92</f>
        <v>147.56478000000001</v>
      </c>
      <c r="J16" s="89"/>
      <c r="K16" s="5"/>
      <c r="L16" s="5"/>
      <c r="M16" s="5"/>
      <c r="N16" s="5"/>
      <c r="O16" s="5"/>
      <c r="P16" s="5"/>
      <c r="Q16" s="90"/>
      <c r="R16" s="85">
        <v>320793</v>
      </c>
      <c r="S16" s="15" t="s">
        <v>33</v>
      </c>
      <c r="T16" s="27">
        <v>160396.5</v>
      </c>
      <c r="U16" s="30" t="s">
        <v>15</v>
      </c>
      <c r="V16" s="35">
        <f t="shared" si="1"/>
        <v>147.56478000000001</v>
      </c>
    </row>
    <row r="17" spans="1:22" ht="30" x14ac:dyDescent="0.25">
      <c r="A17" s="9">
        <v>14</v>
      </c>
      <c r="B17" s="10" t="s">
        <v>34</v>
      </c>
      <c r="C17" s="47">
        <v>622641</v>
      </c>
      <c r="D17" s="11">
        <v>416396</v>
      </c>
      <c r="E17" s="27">
        <f t="shared" si="0"/>
        <v>206245</v>
      </c>
      <c r="F17" s="15" t="s">
        <v>35</v>
      </c>
      <c r="G17" s="27">
        <f>E17*200</f>
        <v>41249000</v>
      </c>
      <c r="H17" s="30" t="s">
        <v>15</v>
      </c>
      <c r="I17" s="35">
        <f>G17/1000000</f>
        <v>41.249000000000002</v>
      </c>
      <c r="J17" s="89"/>
      <c r="K17" s="5"/>
      <c r="L17" s="5"/>
      <c r="M17" s="5"/>
      <c r="N17" s="5"/>
      <c r="O17" s="5"/>
      <c r="P17" s="5"/>
      <c r="Q17" s="90"/>
      <c r="R17" s="85">
        <v>206245</v>
      </c>
      <c r="S17" s="15" t="s">
        <v>35</v>
      </c>
      <c r="T17" s="27">
        <v>41249000</v>
      </c>
      <c r="U17" s="30" t="s">
        <v>15</v>
      </c>
      <c r="V17" s="35">
        <f t="shared" si="1"/>
        <v>41.249000000000002</v>
      </c>
    </row>
    <row r="18" spans="1:22" ht="30" x14ac:dyDescent="0.25">
      <c r="A18" s="9">
        <v>15</v>
      </c>
      <c r="B18" s="10" t="s">
        <v>36</v>
      </c>
      <c r="C18" s="47">
        <v>750000</v>
      </c>
      <c r="D18" s="11">
        <v>298262</v>
      </c>
      <c r="E18" s="27">
        <f t="shared" si="0"/>
        <v>451738</v>
      </c>
      <c r="F18" s="15" t="s">
        <v>37</v>
      </c>
      <c r="G18" s="27">
        <f>E18*100</f>
        <v>45173800</v>
      </c>
      <c r="H18" s="30" t="s">
        <v>15</v>
      </c>
      <c r="I18" s="35">
        <f>G18/1000000</f>
        <v>45.1738</v>
      </c>
      <c r="J18" s="89"/>
      <c r="K18" s="5"/>
      <c r="L18" s="5"/>
      <c r="M18" s="5"/>
      <c r="N18" s="5"/>
      <c r="O18" s="5"/>
      <c r="P18" s="5"/>
      <c r="Q18" s="90"/>
      <c r="R18" s="85">
        <v>451738</v>
      </c>
      <c r="S18" s="15" t="s">
        <v>37</v>
      </c>
      <c r="T18" s="27">
        <v>45173800</v>
      </c>
      <c r="U18" s="30" t="s">
        <v>15</v>
      </c>
      <c r="V18" s="35">
        <f t="shared" si="1"/>
        <v>45.1738</v>
      </c>
    </row>
    <row r="19" spans="1:22" ht="30" x14ac:dyDescent="0.25">
      <c r="A19" s="9">
        <v>16</v>
      </c>
      <c r="B19" s="10" t="s">
        <v>38</v>
      </c>
      <c r="C19" s="47">
        <v>769230</v>
      </c>
      <c r="D19" s="11">
        <v>464116</v>
      </c>
      <c r="E19" s="27">
        <f t="shared" si="0"/>
        <v>305114</v>
      </c>
      <c r="F19" s="15" t="s">
        <v>11</v>
      </c>
      <c r="G19" s="27">
        <f>E19</f>
        <v>305114</v>
      </c>
      <c r="H19" s="31" t="s">
        <v>12</v>
      </c>
      <c r="I19" s="35">
        <f>G19/1000</f>
        <v>305.11399999999998</v>
      </c>
      <c r="J19" s="89"/>
      <c r="K19" s="5"/>
      <c r="L19" s="5"/>
      <c r="M19" s="5"/>
      <c r="N19" s="5"/>
      <c r="O19" s="5"/>
      <c r="P19" s="5"/>
      <c r="Q19" s="90"/>
      <c r="R19" s="85">
        <v>305114</v>
      </c>
      <c r="S19" s="15" t="s">
        <v>11</v>
      </c>
      <c r="T19" s="27">
        <v>305114</v>
      </c>
      <c r="U19" s="31" t="s">
        <v>12</v>
      </c>
      <c r="V19" s="35">
        <f t="shared" si="1"/>
        <v>305.11399999999998</v>
      </c>
    </row>
    <row r="20" spans="1:22" ht="30" x14ac:dyDescent="0.25">
      <c r="A20" s="9">
        <v>17</v>
      </c>
      <c r="B20" s="10" t="s">
        <v>39</v>
      </c>
      <c r="C20" s="47">
        <v>476190</v>
      </c>
      <c r="D20" s="11">
        <v>309493</v>
      </c>
      <c r="E20" s="27">
        <f t="shared" si="0"/>
        <v>166697</v>
      </c>
      <c r="F20" s="15" t="s">
        <v>40</v>
      </c>
      <c r="G20" s="27">
        <f>E20*500</f>
        <v>83348500</v>
      </c>
      <c r="H20" s="30" t="s">
        <v>15</v>
      </c>
      <c r="I20" s="35">
        <f>G20/1000000</f>
        <v>83.348500000000001</v>
      </c>
      <c r="J20" s="89"/>
      <c r="K20" s="5"/>
      <c r="L20" s="5"/>
      <c r="M20" s="5"/>
      <c r="N20" s="5"/>
      <c r="O20" s="5"/>
      <c r="P20" s="5"/>
      <c r="Q20" s="90"/>
      <c r="R20" s="85">
        <v>166697</v>
      </c>
      <c r="S20" s="15" t="s">
        <v>40</v>
      </c>
      <c r="T20" s="27">
        <v>83348500</v>
      </c>
      <c r="U20" s="30" t="s">
        <v>15</v>
      </c>
      <c r="V20" s="35">
        <f t="shared" si="1"/>
        <v>83.348500000000001</v>
      </c>
    </row>
    <row r="21" spans="1:22" ht="30.75" thickBot="1" x14ac:dyDescent="0.3">
      <c r="A21" s="13">
        <v>18</v>
      </c>
      <c r="B21" s="49" t="s">
        <v>41</v>
      </c>
      <c r="C21" s="50">
        <v>366115</v>
      </c>
      <c r="D21" s="11">
        <v>144320</v>
      </c>
      <c r="E21" s="27">
        <f t="shared" si="0"/>
        <v>221795</v>
      </c>
      <c r="F21" s="16" t="s">
        <v>27</v>
      </c>
      <c r="G21" s="27">
        <f>E21*800</f>
        <v>177436000</v>
      </c>
      <c r="H21" s="32" t="s">
        <v>15</v>
      </c>
      <c r="I21" s="35">
        <f>G21/1000000</f>
        <v>177.43600000000001</v>
      </c>
      <c r="J21" s="91"/>
      <c r="K21" s="92"/>
      <c r="L21" s="92"/>
      <c r="M21" s="92"/>
      <c r="N21" s="92"/>
      <c r="O21" s="92"/>
      <c r="P21" s="92"/>
      <c r="Q21" s="93"/>
      <c r="R21" s="85">
        <v>221795</v>
      </c>
      <c r="S21" s="16" t="s">
        <v>27</v>
      </c>
      <c r="T21" s="27">
        <v>177436000</v>
      </c>
      <c r="U21" s="30" t="s">
        <v>15</v>
      </c>
      <c r="V21" s="35">
        <f t="shared" si="1"/>
        <v>177.43600000000001</v>
      </c>
    </row>
    <row r="22" spans="1:22" ht="30" x14ac:dyDescent="0.25">
      <c r="A22" s="18"/>
      <c r="B22" s="19"/>
      <c r="C22" s="19"/>
      <c r="D22" s="19"/>
      <c r="E22" s="19"/>
      <c r="F22" s="19"/>
      <c r="G22" s="19"/>
      <c r="H22" s="19"/>
      <c r="I22" s="20"/>
      <c r="J22" s="6">
        <v>1</v>
      </c>
      <c r="K22" s="7" t="s">
        <v>10</v>
      </c>
      <c r="L22" s="33">
        <v>4383396</v>
      </c>
      <c r="M22" s="33">
        <v>4383396</v>
      </c>
      <c r="N22" s="8" t="s">
        <v>11</v>
      </c>
      <c r="O22" s="8">
        <f>M22</f>
        <v>4383396</v>
      </c>
      <c r="P22" s="45" t="s">
        <v>12</v>
      </c>
      <c r="Q22" s="55">
        <f>O22/1000*1.03</f>
        <v>4514.8978799999995</v>
      </c>
      <c r="R22" s="33">
        <f>4383396-[1]voorraadstaat_bijlage_ix_fonds_!$AL$724-246097-205597</f>
        <v>3277437</v>
      </c>
      <c r="S22" s="8" t="s">
        <v>11</v>
      </c>
      <c r="T22" s="60">
        <f>R22</f>
        <v>3277437</v>
      </c>
      <c r="U22" s="45" t="s">
        <v>12</v>
      </c>
      <c r="V22" s="61">
        <f>T22/1000*1.03</f>
        <v>3375.7601100000002</v>
      </c>
    </row>
    <row r="23" spans="1:22" ht="30" x14ac:dyDescent="0.25">
      <c r="A23" s="21"/>
      <c r="B23" s="22"/>
      <c r="C23" s="22"/>
      <c r="D23" s="22"/>
      <c r="E23" s="22"/>
      <c r="F23" s="22"/>
      <c r="G23" s="22"/>
      <c r="H23" s="22"/>
      <c r="I23" s="23"/>
      <c r="J23" s="9">
        <v>2</v>
      </c>
      <c r="K23" s="10" t="s">
        <v>103</v>
      </c>
      <c r="L23" s="27">
        <v>1759250</v>
      </c>
      <c r="M23" s="27">
        <v>1759250</v>
      </c>
      <c r="N23" s="15" t="s">
        <v>14</v>
      </c>
      <c r="O23" s="11">
        <f>M23*125</f>
        <v>219906250</v>
      </c>
      <c r="P23" s="30" t="s">
        <v>15</v>
      </c>
      <c r="Q23" s="56">
        <f>O23/1000000</f>
        <v>219.90625</v>
      </c>
      <c r="R23" s="27">
        <f>1759250-[1]voorraadstaat_bijlage_ix_fonds_!$AP$724-97200-134860</f>
        <v>888440</v>
      </c>
      <c r="S23" s="15" t="s">
        <v>14</v>
      </c>
      <c r="T23" s="58">
        <f>R23*125</f>
        <v>111055000</v>
      </c>
      <c r="U23" s="30" t="s">
        <v>15</v>
      </c>
      <c r="V23" s="53">
        <f>T23/1000000</f>
        <v>111.05500000000001</v>
      </c>
    </row>
    <row r="24" spans="1:22" ht="30" x14ac:dyDescent="0.25">
      <c r="A24" s="21"/>
      <c r="B24" s="22"/>
      <c r="C24" s="22"/>
      <c r="D24" s="22"/>
      <c r="E24" s="22"/>
      <c r="F24" s="22"/>
      <c r="G24" s="22"/>
      <c r="H24" s="22"/>
      <c r="I24" s="23"/>
      <c r="J24" s="9">
        <v>3</v>
      </c>
      <c r="K24" s="10" t="s">
        <v>16</v>
      </c>
      <c r="L24" s="27">
        <v>894732</v>
      </c>
      <c r="M24" s="27">
        <v>894732</v>
      </c>
      <c r="N24" s="15" t="s">
        <v>17</v>
      </c>
      <c r="O24" s="11">
        <f>M24*260</f>
        <v>232630320</v>
      </c>
      <c r="P24" s="30" t="s">
        <v>15</v>
      </c>
      <c r="Q24" s="56">
        <f t="shared" ref="Q24:Q33" si="3">O24/1000000</f>
        <v>232.63032000000001</v>
      </c>
      <c r="R24" s="27">
        <f>894732-[1]voorraadstaat_bijlage_ix_fonds_!$AT$724-165962-41075</f>
        <v>475054</v>
      </c>
      <c r="S24" s="15" t="s">
        <v>17</v>
      </c>
      <c r="T24" s="58">
        <f>R24*260</f>
        <v>123514040</v>
      </c>
      <c r="U24" s="30" t="s">
        <v>15</v>
      </c>
      <c r="V24" s="53">
        <f t="shared" ref="V24:V33" si="4">T24/1000000</f>
        <v>123.51403999999999</v>
      </c>
    </row>
    <row r="25" spans="1:22" ht="30" x14ac:dyDescent="0.25">
      <c r="A25" s="21"/>
      <c r="B25" s="22"/>
      <c r="C25" s="22"/>
      <c r="D25" s="22"/>
      <c r="E25" s="22"/>
      <c r="F25" s="22"/>
      <c r="G25" s="22"/>
      <c r="H25" s="22"/>
      <c r="I25" s="23"/>
      <c r="J25" s="9">
        <v>4</v>
      </c>
      <c r="K25" s="10" t="s">
        <v>18</v>
      </c>
      <c r="L25" s="27">
        <v>405400</v>
      </c>
      <c r="M25" s="27">
        <v>405400</v>
      </c>
      <c r="N25" s="15" t="s">
        <v>19</v>
      </c>
      <c r="O25" s="11">
        <f>M25*1000</f>
        <v>405400000</v>
      </c>
      <c r="P25" s="30" t="s">
        <v>15</v>
      </c>
      <c r="Q25" s="56">
        <f t="shared" si="3"/>
        <v>405.4</v>
      </c>
      <c r="R25" s="27">
        <f>405400-[1]voorraadstaat_bijlage_ix_fonds_!$AX$724-29250-24081</f>
        <v>264150</v>
      </c>
      <c r="S25" s="15" t="s">
        <v>19</v>
      </c>
      <c r="T25" s="58">
        <f>R25*1000</f>
        <v>264150000</v>
      </c>
      <c r="U25" s="30" t="s">
        <v>15</v>
      </c>
      <c r="V25" s="53">
        <f t="shared" si="4"/>
        <v>264.14999999999998</v>
      </c>
    </row>
    <row r="26" spans="1:22" ht="30" x14ac:dyDescent="0.25">
      <c r="A26" s="21"/>
      <c r="B26" s="22"/>
      <c r="C26" s="22"/>
      <c r="D26" s="22"/>
      <c r="E26" s="22"/>
      <c r="F26" s="22"/>
      <c r="G26" s="22"/>
      <c r="H26" s="22"/>
      <c r="I26" s="23"/>
      <c r="J26" s="9">
        <v>5</v>
      </c>
      <c r="K26" s="10" t="s">
        <v>20</v>
      </c>
      <c r="L26" s="27">
        <v>581388</v>
      </c>
      <c r="M26" s="27">
        <v>581388</v>
      </c>
      <c r="N26" s="15" t="s">
        <v>21</v>
      </c>
      <c r="O26" s="11">
        <f>M26*250</f>
        <v>145347000</v>
      </c>
      <c r="P26" s="30" t="s">
        <v>15</v>
      </c>
      <c r="Q26" s="56">
        <f t="shared" si="3"/>
        <v>145.34700000000001</v>
      </c>
      <c r="R26" s="27">
        <f>581388-[1]voorraadstaat_bijlage_ix_fonds_!$BB$724-78624-45437</f>
        <v>287507</v>
      </c>
      <c r="S26" s="15" t="s">
        <v>21</v>
      </c>
      <c r="T26" s="58">
        <f>R26*250</f>
        <v>71876750</v>
      </c>
      <c r="U26" s="30" t="s">
        <v>15</v>
      </c>
      <c r="V26" s="53">
        <f t="shared" si="4"/>
        <v>71.876750000000001</v>
      </c>
    </row>
    <row r="27" spans="1:22" ht="30" x14ac:dyDescent="0.25">
      <c r="A27" s="21"/>
      <c r="B27" s="22"/>
      <c r="C27" s="22"/>
      <c r="D27" s="22"/>
      <c r="E27" s="22"/>
      <c r="F27" s="22"/>
      <c r="G27" s="22"/>
      <c r="H27" s="22"/>
      <c r="I27" s="23"/>
      <c r="J27" s="9">
        <v>6</v>
      </c>
      <c r="K27" s="10" t="s">
        <v>47</v>
      </c>
      <c r="L27" s="27">
        <v>1015620</v>
      </c>
      <c r="M27" s="27">
        <v>1015620</v>
      </c>
      <c r="N27" s="15" t="s">
        <v>19</v>
      </c>
      <c r="O27" s="11">
        <f>M27*1000</f>
        <v>1015620000</v>
      </c>
      <c r="P27" s="30" t="s">
        <v>15</v>
      </c>
      <c r="Q27" s="56">
        <f t="shared" si="3"/>
        <v>1015.62</v>
      </c>
      <c r="R27" s="27">
        <f>1015620-[1]voorraadstaat_bijlage_ix_fonds_!$BF$724-74700-71726</f>
        <v>493886</v>
      </c>
      <c r="S27" s="15" t="s">
        <v>19</v>
      </c>
      <c r="T27" s="58">
        <f>R27*1000</f>
        <v>493886000</v>
      </c>
      <c r="U27" s="30" t="s">
        <v>15</v>
      </c>
      <c r="V27" s="53">
        <f t="shared" si="4"/>
        <v>493.88600000000002</v>
      </c>
    </row>
    <row r="28" spans="1:22" ht="30" x14ac:dyDescent="0.25">
      <c r="A28" s="21"/>
      <c r="B28" s="22"/>
      <c r="C28" s="22"/>
      <c r="D28" s="22"/>
      <c r="E28" s="22"/>
      <c r="F28" s="22"/>
      <c r="G28" s="22"/>
      <c r="H28" s="22"/>
      <c r="I28" s="23"/>
      <c r="J28" s="9">
        <v>7</v>
      </c>
      <c r="K28" s="10" t="s">
        <v>23</v>
      </c>
      <c r="L28" s="27">
        <v>886070</v>
      </c>
      <c r="M28" s="27">
        <v>886070</v>
      </c>
      <c r="N28" s="15" t="s">
        <v>19</v>
      </c>
      <c r="O28" s="11">
        <f>M28*1000</f>
        <v>886070000</v>
      </c>
      <c r="P28" s="30" t="s">
        <v>15</v>
      </c>
      <c r="Q28" s="56">
        <f t="shared" si="3"/>
        <v>886.07</v>
      </c>
      <c r="R28" s="27">
        <f>886070-[1]voorraadstaat_bijlage_ix_fonds_!$BJ$724-76110-74161</f>
        <v>488617</v>
      </c>
      <c r="S28" s="15" t="s">
        <v>19</v>
      </c>
      <c r="T28" s="58">
        <f>R28*1000</f>
        <v>488617000</v>
      </c>
      <c r="U28" s="30" t="s">
        <v>15</v>
      </c>
      <c r="V28" s="53">
        <f t="shared" si="4"/>
        <v>488.61700000000002</v>
      </c>
    </row>
    <row r="29" spans="1:22" ht="30" x14ac:dyDescent="0.25">
      <c r="A29" s="21"/>
      <c r="B29" s="22"/>
      <c r="C29" s="22"/>
      <c r="D29" s="22"/>
      <c r="E29" s="22"/>
      <c r="F29" s="22"/>
      <c r="G29" s="22"/>
      <c r="H29" s="22"/>
      <c r="I29" s="23"/>
      <c r="J29" s="9">
        <v>8</v>
      </c>
      <c r="K29" s="12" t="s">
        <v>24</v>
      </c>
      <c r="L29" s="74"/>
      <c r="M29" s="74"/>
      <c r="N29" s="75"/>
      <c r="O29" s="76"/>
      <c r="P29" s="77"/>
      <c r="Q29" s="78"/>
      <c r="R29" s="74"/>
      <c r="S29" s="75"/>
      <c r="T29" s="79"/>
      <c r="U29" s="77"/>
      <c r="V29" s="80"/>
    </row>
    <row r="30" spans="1:22" ht="30" x14ac:dyDescent="0.25">
      <c r="A30" s="21"/>
      <c r="B30" s="22"/>
      <c r="C30" s="22"/>
      <c r="D30" s="22"/>
      <c r="E30" s="22"/>
      <c r="F30" s="22"/>
      <c r="G30" s="22"/>
      <c r="H30" s="22"/>
      <c r="I30" s="23"/>
      <c r="J30" s="9">
        <v>9</v>
      </c>
      <c r="K30" s="10" t="s">
        <v>26</v>
      </c>
      <c r="L30" s="27">
        <v>633792</v>
      </c>
      <c r="M30" s="27">
        <v>633792</v>
      </c>
      <c r="N30" s="15" t="s">
        <v>27</v>
      </c>
      <c r="O30" s="11">
        <f>M30*800</f>
        <v>507033600</v>
      </c>
      <c r="P30" s="30" t="s">
        <v>15</v>
      </c>
      <c r="Q30" s="56">
        <f t="shared" si="3"/>
        <v>507.03359999999998</v>
      </c>
      <c r="R30" s="27">
        <f>633792-[1]voorraadstaat_bijlage_ix_fonds_!$BN$724-96420-35790</f>
        <v>296570</v>
      </c>
      <c r="S30" s="15" t="s">
        <v>27</v>
      </c>
      <c r="T30" s="58">
        <f>R30*800</f>
        <v>237256000</v>
      </c>
      <c r="U30" s="30" t="s">
        <v>15</v>
      </c>
      <c r="V30" s="53">
        <f t="shared" si="4"/>
        <v>237.256</v>
      </c>
    </row>
    <row r="31" spans="1:22" ht="30" x14ac:dyDescent="0.25">
      <c r="A31" s="21"/>
      <c r="B31" s="22"/>
      <c r="C31" s="22"/>
      <c r="D31" s="22"/>
      <c r="E31" s="22"/>
      <c r="F31" s="22"/>
      <c r="G31" s="22"/>
      <c r="H31" s="22"/>
      <c r="I31" s="23"/>
      <c r="J31" s="9">
        <v>10</v>
      </c>
      <c r="K31" s="10" t="s">
        <v>104</v>
      </c>
      <c r="L31" s="27">
        <v>365844</v>
      </c>
      <c r="M31" s="27">
        <v>365844</v>
      </c>
      <c r="N31" s="15" t="s">
        <v>111</v>
      </c>
      <c r="O31" s="11">
        <f>M31*780</f>
        <v>285358320</v>
      </c>
      <c r="P31" s="30" t="s">
        <v>15</v>
      </c>
      <c r="Q31" s="56">
        <f t="shared" si="3"/>
        <v>285.35831999999999</v>
      </c>
      <c r="R31" s="27">
        <f>365844-[1]voorraadstaat_bijlage_ix_fonds_!$BR$724-8640-25003</f>
        <v>284184</v>
      </c>
      <c r="S31" s="15" t="s">
        <v>111</v>
      </c>
      <c r="T31" s="58">
        <f>R31*780</f>
        <v>221663520</v>
      </c>
      <c r="U31" s="30" t="s">
        <v>15</v>
      </c>
      <c r="V31" s="53">
        <f t="shared" si="4"/>
        <v>221.66352000000001</v>
      </c>
    </row>
    <row r="32" spans="1:22" ht="30" x14ac:dyDescent="0.25">
      <c r="A32" s="21"/>
      <c r="B32" s="22"/>
      <c r="C32" s="22"/>
      <c r="D32" s="22"/>
      <c r="E32" s="22"/>
      <c r="F32" s="22"/>
      <c r="G32" s="22"/>
      <c r="H32" s="22"/>
      <c r="I32" s="23"/>
      <c r="J32" s="9">
        <v>11</v>
      </c>
      <c r="K32" s="10" t="s">
        <v>105</v>
      </c>
      <c r="L32" s="27">
        <v>405396</v>
      </c>
      <c r="M32" s="27">
        <v>405396</v>
      </c>
      <c r="N32" s="15" t="s">
        <v>25</v>
      </c>
      <c r="O32" s="11">
        <f>M32*400</f>
        <v>162158400</v>
      </c>
      <c r="P32" s="30" t="s">
        <v>15</v>
      </c>
      <c r="Q32" s="56">
        <f t="shared" si="3"/>
        <v>162.1584</v>
      </c>
      <c r="R32" s="27">
        <f>405396-[1]voorraadstaat_bijlage_ix_fonds_!$BV$724-10152-28437</f>
        <v>318729</v>
      </c>
      <c r="S32" s="15" t="s">
        <v>25</v>
      </c>
      <c r="T32" s="58">
        <f>R32*400</f>
        <v>127491600</v>
      </c>
      <c r="U32" s="30" t="s">
        <v>15</v>
      </c>
      <c r="V32" s="53">
        <f t="shared" si="4"/>
        <v>127.49160000000001</v>
      </c>
    </row>
    <row r="33" spans="1:22" ht="30" x14ac:dyDescent="0.25">
      <c r="A33" s="21"/>
      <c r="B33" s="22"/>
      <c r="C33" s="22"/>
      <c r="D33" s="22"/>
      <c r="E33" s="22"/>
      <c r="F33" s="22"/>
      <c r="G33" s="22"/>
      <c r="H33" s="22"/>
      <c r="I33" s="23"/>
      <c r="J33" s="9">
        <v>12</v>
      </c>
      <c r="K33" s="10" t="s">
        <v>30</v>
      </c>
      <c r="L33" s="27">
        <v>634920</v>
      </c>
      <c r="M33" s="27">
        <v>634920</v>
      </c>
      <c r="N33" s="15" t="s">
        <v>110</v>
      </c>
      <c r="O33" s="11">
        <f>M33*405</f>
        <v>257142600</v>
      </c>
      <c r="P33" s="30" t="s">
        <v>15</v>
      </c>
      <c r="Q33" s="56">
        <f t="shared" si="3"/>
        <v>257.14260000000002</v>
      </c>
      <c r="R33" s="27">
        <f>634920-[1]voorraadstaat_bijlage_ix_fonds_!$BZ$724-102648-36300</f>
        <v>253436</v>
      </c>
      <c r="S33" s="15" t="s">
        <v>110</v>
      </c>
      <c r="T33" s="58">
        <f>R33*405</f>
        <v>102641580</v>
      </c>
      <c r="U33" s="30" t="s">
        <v>15</v>
      </c>
      <c r="V33" s="53">
        <f t="shared" si="4"/>
        <v>102.64158</v>
      </c>
    </row>
    <row r="34" spans="1:22" ht="30" x14ac:dyDescent="0.25">
      <c r="A34" s="21"/>
      <c r="B34" s="22"/>
      <c r="C34" s="22"/>
      <c r="D34" s="22"/>
      <c r="E34" s="22"/>
      <c r="F34" s="22"/>
      <c r="G34" s="22"/>
      <c r="H34" s="22"/>
      <c r="I34" s="23"/>
      <c r="J34" s="9">
        <v>13</v>
      </c>
      <c r="K34" s="10" t="s">
        <v>32</v>
      </c>
      <c r="L34" s="27">
        <v>694440</v>
      </c>
      <c r="M34" s="27">
        <v>694440</v>
      </c>
      <c r="N34" s="15" t="s">
        <v>33</v>
      </c>
      <c r="O34" s="11">
        <f>M34/2</f>
        <v>347220</v>
      </c>
      <c r="P34" s="31" t="s">
        <v>12</v>
      </c>
      <c r="Q34" s="56">
        <f>O34/1000*0.92</f>
        <v>319.44240000000002</v>
      </c>
      <c r="R34" s="27">
        <f>694440-[1]voorraadstaat_bijlage_ix_fonds_!$CD$724-30120-48185</f>
        <v>411955</v>
      </c>
      <c r="S34" s="15" t="s">
        <v>33</v>
      </c>
      <c r="T34" s="58">
        <f>R34/2</f>
        <v>205977.5</v>
      </c>
      <c r="U34" s="31" t="s">
        <v>12</v>
      </c>
      <c r="V34" s="53">
        <f>T34/1000*0.92</f>
        <v>189.49930000000001</v>
      </c>
    </row>
    <row r="35" spans="1:22" ht="30" x14ac:dyDescent="0.25">
      <c r="A35" s="21"/>
      <c r="B35" s="22"/>
      <c r="C35" s="22"/>
      <c r="D35" s="22"/>
      <c r="E35" s="22"/>
      <c r="F35" s="22"/>
      <c r="G35" s="22"/>
      <c r="H35" s="22"/>
      <c r="I35" s="23"/>
      <c r="J35" s="9">
        <v>14</v>
      </c>
      <c r="K35" s="10" t="s">
        <v>106</v>
      </c>
      <c r="L35" s="27">
        <v>517224</v>
      </c>
      <c r="M35" s="27">
        <v>517224</v>
      </c>
      <c r="N35" s="15" t="s">
        <v>35</v>
      </c>
      <c r="O35" s="11">
        <f>M35*200</f>
        <v>103444800</v>
      </c>
      <c r="P35" s="30" t="s">
        <v>15</v>
      </c>
      <c r="Q35" s="56">
        <f>O35/1000000</f>
        <v>103.4448</v>
      </c>
      <c r="R35" s="27">
        <f>517224-[1]voorraadstaat_bijlage_ix_fonds_!$CH$724-40704-30199</f>
        <v>317281</v>
      </c>
      <c r="S35" s="15" t="s">
        <v>35</v>
      </c>
      <c r="T35" s="58">
        <f>R35*200</f>
        <v>63456200</v>
      </c>
      <c r="U35" s="30" t="s">
        <v>15</v>
      </c>
      <c r="V35" s="53">
        <f>T35/1000000</f>
        <v>63.456200000000003</v>
      </c>
    </row>
    <row r="36" spans="1:22" ht="30" x14ac:dyDescent="0.25">
      <c r="A36" s="21"/>
      <c r="B36" s="22"/>
      <c r="C36" s="22"/>
      <c r="D36" s="22"/>
      <c r="E36" s="22"/>
      <c r="F36" s="22"/>
      <c r="G36" s="22"/>
      <c r="H36" s="22"/>
      <c r="I36" s="23"/>
      <c r="J36" s="9">
        <v>15</v>
      </c>
      <c r="K36" s="10" t="s">
        <v>107</v>
      </c>
      <c r="L36" s="27">
        <v>657870</v>
      </c>
      <c r="M36" s="27">
        <v>657870</v>
      </c>
      <c r="N36" s="15" t="s">
        <v>37</v>
      </c>
      <c r="O36" s="11">
        <f>M36*100</f>
        <v>65787000</v>
      </c>
      <c r="P36" s="30" t="s">
        <v>15</v>
      </c>
      <c r="Q36" s="56">
        <f>O36/1000000</f>
        <v>65.787000000000006</v>
      </c>
      <c r="R36" s="27">
        <f>657870-[1]voorraadstaat_bijlage_ix_fonds_!$CL$724-166170-34432</f>
        <v>273283</v>
      </c>
      <c r="S36" s="15" t="s">
        <v>37</v>
      </c>
      <c r="T36" s="58">
        <f>R36*100</f>
        <v>27328300</v>
      </c>
      <c r="U36" s="30" t="s">
        <v>15</v>
      </c>
      <c r="V36" s="53">
        <f>T36/1000000</f>
        <v>27.328299999999999</v>
      </c>
    </row>
    <row r="37" spans="1:22" ht="30" x14ac:dyDescent="0.25">
      <c r="A37" s="21"/>
      <c r="B37" s="22"/>
      <c r="C37" s="22"/>
      <c r="D37" s="22"/>
      <c r="E37" s="22"/>
      <c r="F37" s="22"/>
      <c r="G37" s="22"/>
      <c r="H37" s="22"/>
      <c r="I37" s="23"/>
      <c r="J37" s="9">
        <v>16</v>
      </c>
      <c r="K37" s="10" t="s">
        <v>38</v>
      </c>
      <c r="L37" s="27">
        <v>754712</v>
      </c>
      <c r="M37" s="27">
        <v>754712</v>
      </c>
      <c r="N37" s="15" t="s">
        <v>11</v>
      </c>
      <c r="O37" s="11">
        <f>M37</f>
        <v>754712</v>
      </c>
      <c r="P37" s="31" t="s">
        <v>12</v>
      </c>
      <c r="Q37" s="56">
        <f>O37/1000</f>
        <v>754.71199999999999</v>
      </c>
      <c r="R37" s="27">
        <f>754712-[1]voorraadstaat_bijlage_ix_fonds_!$CP$724-95048-52053</f>
        <v>425486</v>
      </c>
      <c r="S37" s="15" t="s">
        <v>11</v>
      </c>
      <c r="T37" s="58">
        <f>R37</f>
        <v>425486</v>
      </c>
      <c r="U37" s="31" t="s">
        <v>12</v>
      </c>
      <c r="V37" s="53">
        <f>T37/1000</f>
        <v>425.48599999999999</v>
      </c>
    </row>
    <row r="38" spans="1:22" ht="30" x14ac:dyDescent="0.25">
      <c r="A38" s="21"/>
      <c r="B38" s="22"/>
      <c r="C38" s="22"/>
      <c r="D38" s="22"/>
      <c r="E38" s="22"/>
      <c r="F38" s="22"/>
      <c r="G38" s="22"/>
      <c r="H38" s="22"/>
      <c r="I38" s="23"/>
      <c r="J38" s="9">
        <v>17</v>
      </c>
      <c r="K38" s="10" t="s">
        <v>39</v>
      </c>
      <c r="L38" s="27">
        <v>304344</v>
      </c>
      <c r="M38" s="27">
        <v>304344</v>
      </c>
      <c r="N38" s="15" t="s">
        <v>40</v>
      </c>
      <c r="O38" s="11">
        <f>M38*500</f>
        <v>152172000</v>
      </c>
      <c r="P38" s="30" t="s">
        <v>15</v>
      </c>
      <c r="Q38" s="56">
        <f>O38/1000000</f>
        <v>152.172</v>
      </c>
      <c r="R38" s="27">
        <f>304344-[1]voorraadstaat_bijlage_ix_fonds_!$CT$724-23592-15437</f>
        <v>201287</v>
      </c>
      <c r="S38" s="15" t="s">
        <v>40</v>
      </c>
      <c r="T38" s="58">
        <f>R38*500</f>
        <v>100643500</v>
      </c>
      <c r="U38" s="30" t="s">
        <v>15</v>
      </c>
      <c r="V38" s="53">
        <f>T38/1000000</f>
        <v>100.6435</v>
      </c>
    </row>
    <row r="39" spans="1:22" ht="30.75" thickBot="1" x14ac:dyDescent="0.3">
      <c r="A39" s="24"/>
      <c r="B39" s="25"/>
      <c r="C39" s="25"/>
      <c r="D39" s="25"/>
      <c r="E39" s="25"/>
      <c r="F39" s="25"/>
      <c r="G39" s="25"/>
      <c r="H39" s="25"/>
      <c r="I39" s="26"/>
      <c r="J39" s="13">
        <v>18</v>
      </c>
      <c r="K39" s="73" t="s">
        <v>108</v>
      </c>
      <c r="L39" s="36">
        <v>373092</v>
      </c>
      <c r="M39" s="36">
        <v>373092</v>
      </c>
      <c r="N39" s="16" t="s">
        <v>27</v>
      </c>
      <c r="O39" s="14">
        <f>M39*800</f>
        <v>298473600</v>
      </c>
      <c r="P39" s="32" t="s">
        <v>15</v>
      </c>
      <c r="Q39" s="57">
        <f>O39/1000000</f>
        <v>298.47359999999998</v>
      </c>
      <c r="R39" s="36">
        <f>373092-[1]voorraadstaat_bijlage_ix_fonds_!$CX$724-59832-11852</f>
        <v>234032</v>
      </c>
      <c r="S39" s="16" t="s">
        <v>27</v>
      </c>
      <c r="T39" s="59">
        <f>R39*800</f>
        <v>187225600</v>
      </c>
      <c r="U39" s="32" t="s">
        <v>15</v>
      </c>
      <c r="V39" s="62">
        <f>T39/1000000</f>
        <v>187.22559999999999</v>
      </c>
    </row>
    <row r="40" spans="1:22" ht="15.75" thickBot="1" x14ac:dyDescent="0.3">
      <c r="L40" s="72"/>
      <c r="R40" s="72"/>
      <c r="V40" s="64">
        <f>SUM(V4:V39)</f>
        <v>11486.173474999998</v>
      </c>
    </row>
    <row r="41" spans="1:22" ht="48" thickBot="1" x14ac:dyDescent="0.3">
      <c r="B41" s="1" t="s">
        <v>54</v>
      </c>
      <c r="C41" s="2" t="s">
        <v>55</v>
      </c>
      <c r="D41" s="2" t="s">
        <v>56</v>
      </c>
      <c r="E41" s="2" t="s">
        <v>57</v>
      </c>
      <c r="F41" s="2" t="s">
        <v>58</v>
      </c>
      <c r="G41" s="2" t="s">
        <v>59</v>
      </c>
      <c r="H41" s="2" t="s">
        <v>88</v>
      </c>
      <c r="I41" s="4" t="s">
        <v>109</v>
      </c>
      <c r="J41" s="4" t="s">
        <v>60</v>
      </c>
    </row>
    <row r="42" spans="1:22" ht="30" x14ac:dyDescent="0.25">
      <c r="B42" s="65" t="s">
        <v>61</v>
      </c>
      <c r="C42" s="66">
        <v>1</v>
      </c>
      <c r="D42" s="66" t="s">
        <v>62</v>
      </c>
      <c r="E42" s="66" t="s">
        <v>63</v>
      </c>
      <c r="F42" s="66" t="s">
        <v>64</v>
      </c>
      <c r="G42" s="66">
        <v>1.1399999999999999</v>
      </c>
      <c r="H42" s="69" t="s">
        <v>91</v>
      </c>
      <c r="I42" s="81">
        <v>1</v>
      </c>
      <c r="J42" s="61">
        <f>V4+V22</f>
        <v>4421.9424400000007</v>
      </c>
      <c r="T42" s="63"/>
    </row>
    <row r="43" spans="1:22" ht="30" x14ac:dyDescent="0.25">
      <c r="B43" s="51" t="s">
        <v>65</v>
      </c>
      <c r="C43" s="52" t="s">
        <v>66</v>
      </c>
      <c r="D43" s="52" t="s">
        <v>67</v>
      </c>
      <c r="E43" s="52"/>
      <c r="F43" s="52">
        <v>2</v>
      </c>
      <c r="G43" s="52">
        <v>2</v>
      </c>
      <c r="H43" s="70" t="s">
        <v>92</v>
      </c>
      <c r="I43" s="82">
        <v>2</v>
      </c>
      <c r="J43" s="53">
        <f>V5+V23</f>
        <v>191.14487500000001</v>
      </c>
    </row>
    <row r="44" spans="1:22" ht="60" x14ac:dyDescent="0.25">
      <c r="B44" s="51" t="s">
        <v>68</v>
      </c>
      <c r="C44" s="52" t="s">
        <v>69</v>
      </c>
      <c r="D44" s="52" t="s">
        <v>70</v>
      </c>
      <c r="E44" s="52" t="s">
        <v>71</v>
      </c>
      <c r="F44" s="52" t="s">
        <v>72</v>
      </c>
      <c r="G44" s="52" t="s">
        <v>73</v>
      </c>
      <c r="H44" s="70" t="s">
        <v>89</v>
      </c>
      <c r="I44" s="82" t="s">
        <v>89</v>
      </c>
      <c r="J44" s="53">
        <f>V7+V9+V10+V25+V27+V28</f>
        <v>2869.2440000000001</v>
      </c>
      <c r="V44" s="63"/>
    </row>
    <row r="45" spans="1:22" ht="30" x14ac:dyDescent="0.25">
      <c r="B45" s="51" t="s">
        <v>74</v>
      </c>
      <c r="C45" s="52"/>
      <c r="D45" s="52"/>
      <c r="E45" s="52">
        <v>6</v>
      </c>
      <c r="F45" s="52"/>
      <c r="G45" s="52"/>
      <c r="H45" s="70"/>
      <c r="I45" s="82"/>
      <c r="J45" s="17"/>
    </row>
    <row r="46" spans="1:22" ht="30" x14ac:dyDescent="0.25">
      <c r="B46" s="51" t="s">
        <v>75</v>
      </c>
      <c r="C46" s="52" t="s">
        <v>76</v>
      </c>
      <c r="D46" s="52" t="s">
        <v>77</v>
      </c>
      <c r="E46" s="52" t="s">
        <v>78</v>
      </c>
      <c r="F46" s="52" t="s">
        <v>79</v>
      </c>
      <c r="G46" s="52" t="s">
        <v>80</v>
      </c>
      <c r="H46" s="70" t="s">
        <v>93</v>
      </c>
      <c r="I46" s="82" t="s">
        <v>112</v>
      </c>
      <c r="J46" s="53">
        <f>V11+V12+V13+V14+V19+V30+V31+V32+V37</f>
        <v>2244.8675200000002</v>
      </c>
    </row>
    <row r="47" spans="1:22" ht="45" x14ac:dyDescent="0.25">
      <c r="B47" s="51" t="s">
        <v>81</v>
      </c>
      <c r="C47" s="52" t="s">
        <v>82</v>
      </c>
      <c r="D47" s="52" t="s">
        <v>83</v>
      </c>
      <c r="E47" s="52" t="s">
        <v>84</v>
      </c>
      <c r="F47" s="52" t="s">
        <v>85</v>
      </c>
      <c r="G47" s="52" t="s">
        <v>86</v>
      </c>
      <c r="H47" s="70" t="s">
        <v>94</v>
      </c>
      <c r="I47" s="82" t="s">
        <v>94</v>
      </c>
      <c r="J47" s="53">
        <f>V6+V8+V15+V17+V18+V20+V21+V24+V26+V33+V35+V36+V38+V39</f>
        <v>1421.91056</v>
      </c>
    </row>
    <row r="48" spans="1:22" ht="30.75" thickBot="1" x14ac:dyDescent="0.3">
      <c r="B48" s="67" t="s">
        <v>87</v>
      </c>
      <c r="C48" s="68">
        <v>11</v>
      </c>
      <c r="D48" s="68">
        <v>11</v>
      </c>
      <c r="E48" s="68">
        <v>17</v>
      </c>
      <c r="F48" s="68">
        <v>16</v>
      </c>
      <c r="G48" s="68">
        <v>16</v>
      </c>
      <c r="H48" s="71" t="s">
        <v>90</v>
      </c>
      <c r="I48" s="83" t="s">
        <v>90</v>
      </c>
      <c r="J48" s="62">
        <f>V34+V16</f>
        <v>337.06407999999999</v>
      </c>
    </row>
    <row r="49" spans="2:10" ht="15.75" thickBot="1" x14ac:dyDescent="0.3">
      <c r="B49" s="97"/>
      <c r="C49" s="98"/>
      <c r="D49" s="98"/>
      <c r="E49" s="98"/>
      <c r="F49" s="98"/>
      <c r="G49" s="98"/>
      <c r="H49" s="98"/>
      <c r="I49" s="99"/>
      <c r="J49" s="54">
        <f>SUM(J42:J48)</f>
        <v>11486.173475000001</v>
      </c>
    </row>
  </sheetData>
  <mergeCells count="4">
    <mergeCell ref="A1:I1"/>
    <mergeCell ref="J1:Q1"/>
    <mergeCell ref="R1:V1"/>
    <mergeCell ref="B49:I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Bossuyt Nele</dc:creator>
  <cp:lastModifiedBy>bossuyt nele</cp:lastModifiedBy>
  <dcterms:created xsi:type="dcterms:W3CDTF">2020-09-14T12:19:53Z</dcterms:created>
  <dcterms:modified xsi:type="dcterms:W3CDTF">2023-04-20T11:26:25Z</dcterms:modified>
</cp:coreProperties>
</file>